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/>
  <mc:AlternateContent xmlns:mc="http://schemas.openxmlformats.org/markup-compatibility/2006">
    <mc:Choice Requires="x15">
      <x15ac:absPath xmlns:x15ac="http://schemas.microsoft.com/office/spreadsheetml/2010/11/ac" url="C:\Users\КарповДА\Desktop\"/>
    </mc:Choice>
  </mc:AlternateContent>
  <bookViews>
    <workbookView xWindow="0" yWindow="0" windowWidth="28800" windowHeight="12210"/>
  </bookViews>
  <sheets>
    <sheet name="Расчет" sheetId="5" r:id="rId1"/>
    <sheet name="ДОП" sheetId="4" r:id="rId2"/>
  </sheets>
  <definedNames>
    <definedName name="A" localSheetId="1">ДОП!$AQ:$AQ</definedName>
    <definedName name="A">#REF!</definedName>
    <definedName name="A." localSheetId="1">ДОП!$AQ:$AQ</definedName>
    <definedName name="A.">#REF!</definedName>
    <definedName name="Z_845E1D4E_F45C_4A69_A5C3_4415E04F372C_.wvu.Cols" localSheetId="0" hidden="1">Расчет!$S:$Z</definedName>
    <definedName name="Z_845E1D4E_F45C_4A69_A5C3_4415E04F372C_.wvu.PrintArea" localSheetId="0" hidden="1">Расчет!$A$1:$Q$33</definedName>
    <definedName name="_xlnm.Print_Area" localSheetId="0">Расчет!$A$1:$Q$33</definedName>
  </definedNames>
  <calcPr calcId="171027"/>
  <customWorkbookViews>
    <customWorkbookView name="Долгишев Сергей Анатольевич - Личное представление" guid="{845E1D4E-F45C-4A69-A5C3-4415E04F372C}" mergeInterval="0" personalView="1" maximized="1" windowWidth="1596" windowHeight="654" activeSheetId="1"/>
  </customWorkbookViews>
</workbook>
</file>

<file path=xl/calcChain.xml><?xml version="1.0" encoding="utf-8"?>
<calcChain xmlns="http://schemas.openxmlformats.org/spreadsheetml/2006/main">
  <c r="B246" i="4" l="1"/>
  <c r="C33" i="4" s="1"/>
  <c r="B100" i="4"/>
  <c r="B33" i="4" s="1"/>
  <c r="C80" i="4"/>
  <c r="B80" i="4"/>
  <c r="C160" i="4"/>
  <c r="B160" i="4"/>
  <c r="C159" i="4"/>
  <c r="B159" i="4"/>
  <c r="C68" i="4"/>
  <c r="B68" i="4"/>
  <c r="C148" i="4"/>
  <c r="B148" i="4"/>
  <c r="C162" i="4"/>
  <c r="B162" i="4"/>
  <c r="C161" i="4"/>
  <c r="B161" i="4"/>
  <c r="C158" i="4"/>
  <c r="B158" i="4"/>
  <c r="C157" i="4"/>
  <c r="B157" i="4"/>
  <c r="C156" i="4"/>
  <c r="B156" i="4"/>
  <c r="C155" i="4"/>
  <c r="B155" i="4"/>
  <c r="C154" i="4"/>
  <c r="B154" i="4"/>
  <c r="C153" i="4"/>
  <c r="B153" i="4"/>
  <c r="C152" i="4"/>
  <c r="B152" i="4"/>
  <c r="C151" i="4"/>
  <c r="B151" i="4"/>
  <c r="C150" i="4"/>
  <c r="B150" i="4"/>
  <c r="C149" i="4"/>
  <c r="B149" i="4"/>
  <c r="C147" i="4"/>
  <c r="B147" i="4"/>
  <c r="C146" i="4"/>
  <c r="B146" i="4"/>
  <c r="C145" i="4"/>
  <c r="B145" i="4"/>
  <c r="C144" i="4"/>
  <c r="B144" i="4"/>
  <c r="C143" i="4"/>
  <c r="B143" i="4"/>
  <c r="C142" i="4"/>
  <c r="B142" i="4"/>
  <c r="C141" i="4"/>
  <c r="C181" i="4" s="1"/>
  <c r="B141" i="4"/>
  <c r="B181" i="4" s="1"/>
  <c r="B104" i="4" s="1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C105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2" i="4"/>
  <c r="C81" i="4"/>
  <c r="C79" i="4"/>
  <c r="C78" i="4"/>
  <c r="C77" i="4"/>
  <c r="C76" i="4"/>
  <c r="C75" i="4"/>
  <c r="C74" i="4"/>
  <c r="C73" i="4"/>
  <c r="C72" i="4"/>
  <c r="C71" i="4"/>
  <c r="C70" i="4"/>
  <c r="C69" i="4"/>
  <c r="C67" i="4"/>
  <c r="C66" i="4"/>
  <c r="C65" i="4"/>
  <c r="C64" i="4"/>
  <c r="C63" i="4"/>
  <c r="C62" i="4"/>
  <c r="C61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B105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25" i="4"/>
  <c r="B245" i="4"/>
  <c r="C104" i="4" l="1"/>
  <c r="B182" i="4"/>
  <c r="C32" i="4" s="1"/>
  <c r="J15" i="4" s="1"/>
  <c r="C138" i="4"/>
  <c r="C103" i="4" s="1"/>
  <c r="B138" i="4"/>
  <c r="C245" i="4"/>
  <c r="C83" i="4"/>
  <c r="C59" i="4"/>
  <c r="B82" i="4"/>
  <c r="B81" i="4"/>
  <c r="B79" i="4"/>
  <c r="B78" i="4"/>
  <c r="B77" i="4"/>
  <c r="B76" i="4"/>
  <c r="B75" i="4"/>
  <c r="B74" i="4"/>
  <c r="B73" i="4"/>
  <c r="B72" i="4"/>
  <c r="B71" i="4"/>
  <c r="B70" i="4"/>
  <c r="B69" i="4"/>
  <c r="B67" i="4"/>
  <c r="B66" i="4"/>
  <c r="B65" i="4"/>
  <c r="B64" i="4"/>
  <c r="B63" i="4"/>
  <c r="B62" i="4"/>
  <c r="B61" i="4"/>
  <c r="B41" i="4"/>
  <c r="B40" i="4"/>
  <c r="B39" i="4"/>
  <c r="B38" i="4"/>
  <c r="B94" i="4"/>
  <c r="B93" i="4"/>
  <c r="B92" i="4"/>
  <c r="B91" i="4"/>
  <c r="B90" i="4"/>
  <c r="B89" i="4"/>
  <c r="B98" i="4"/>
  <c r="B97" i="4"/>
  <c r="B96" i="4"/>
  <c r="B95" i="4"/>
  <c r="B88" i="4"/>
  <c r="B87" i="4"/>
  <c r="B86" i="4"/>
  <c r="B85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189" i="4"/>
  <c r="N14" i="4"/>
  <c r="N12" i="4"/>
  <c r="AF11" i="4"/>
  <c r="AF10" i="4"/>
  <c r="AF9" i="4"/>
  <c r="AF8" i="4"/>
  <c r="AF7" i="4"/>
  <c r="AF6" i="4"/>
  <c r="B103" i="4" l="1"/>
  <c r="B139" i="4"/>
  <c r="C31" i="4" s="1"/>
  <c r="A20" i="4" s="1"/>
  <c r="B83" i="4"/>
  <c r="B84" i="4" s="1"/>
  <c r="B32" i="4" s="1"/>
  <c r="B99" i="4"/>
  <c r="I15" i="4"/>
  <c r="B59" i="4"/>
  <c r="B60" i="4" s="1"/>
  <c r="B31" i="4" s="1"/>
  <c r="B24" i="4" s="1"/>
  <c r="C20" i="4" l="1"/>
  <c r="C16" i="4"/>
  <c r="C18" i="4"/>
  <c r="C17" i="4"/>
  <c r="A21" i="4"/>
  <c r="A22" i="4"/>
  <c r="J13" i="4"/>
  <c r="I13" i="4" s="1"/>
  <c r="I17" i="4" s="1"/>
  <c r="A18" i="4" l="1"/>
  <c r="A17" i="4"/>
  <c r="A16" i="4"/>
  <c r="N15" i="4" s="1"/>
  <c r="C21" i="4"/>
  <c r="N15" i="5"/>
  <c r="C22" i="4"/>
  <c r="N13" i="5" l="1"/>
  <c r="N14" i="5" s="1"/>
  <c r="N16" i="5"/>
</calcChain>
</file>

<file path=xl/sharedStrings.xml><?xml version="1.0" encoding="utf-8"?>
<sst xmlns="http://schemas.openxmlformats.org/spreadsheetml/2006/main" count="706" uniqueCount="593">
  <si>
    <t>Заявленный уровень напряжения</t>
  </si>
  <si>
    <t>Выполненный расчет является ориентировочным, итоговый расчет будет произведен после подачи Вами заявки на ТП при подготовке договора об осуществлении технологического присоединения.</t>
  </si>
  <si>
    <t>Плата за технологическое присоединение составляет 550 рублей при условии, что: присоединение осуществляется по одному источнику, расстояние по прямой от границ участка заявителя до объектов электросетевого хозяйства на уровне напряжения до 20 кВ менее 300 метров в городах и поселках городского типа и 500 метров в сельской местности; размер максимальной мощности не превышает 15 кВт включительно (с учетом ранее присоединенных в данной точке присоединения энергопринимающих устройств); технологическое присоединение объектов, отнесенных к третьей категории надежности (по одному источнику электроснабжения).</t>
  </si>
  <si>
    <t>км</t>
  </si>
  <si>
    <t>кВ</t>
  </si>
  <si>
    <t>кВт</t>
  </si>
  <si>
    <t>I; II; III</t>
  </si>
  <si>
    <t>Строительство комплектных трансформаторных подстанций (КТП), распределительных трансформаторных подстанций (РТП)</t>
  </si>
  <si>
    <t>06-20</t>
  </si>
  <si>
    <t>I</t>
  </si>
  <si>
    <t>II</t>
  </si>
  <si>
    <t>III</t>
  </si>
  <si>
    <t>Категория надёжности</t>
  </si>
  <si>
    <t>Максимальная мощность</t>
  </si>
  <si>
    <t xml:space="preserve"> Строительство ВЛ:</t>
  </si>
  <si>
    <t xml:space="preserve"> Строительство КЛ:</t>
  </si>
  <si>
    <t>кВА</t>
  </si>
  <si>
    <t>ВВЕДИТЕ ДАННЫЕ ДЛЯ РАСЧЁТА:</t>
  </si>
  <si>
    <t>ОРИЕНТИРОВОЧНАЯ ПЛАТА ЗА ТЕХНОЛОГИЧЕСКОЕ ПРИСОЕДИНЕНИЕ</t>
  </si>
  <si>
    <t>по стандартизированным ставкам:</t>
  </si>
  <si>
    <t>по ставкам за единицу максимальной мощности:</t>
  </si>
  <si>
    <t>руб. (без НДС)</t>
  </si>
  <si>
    <t xml:space="preserve">В случае присоединения энергопринимающих устройств с заявляемой максимальной мощностью не менее 8900 кВт включительно и на уровне напряжения не ниже 35 кВ, расчёт осущетвляется по индивидуальному проекту в соответсвии с Методическими указаниями  по определению размера платы за технологическое присоединение к электрическим сетям» утверждёнными приказом Федеральной службы по тарифам от 11.09.2012 № 209-э/1.  </t>
  </si>
  <si>
    <t>ВЛ</t>
  </si>
  <si>
    <t>КЛ</t>
  </si>
  <si>
    <t>КТП</t>
  </si>
  <si>
    <t>К</t>
  </si>
  <si>
    <t xml:space="preserve"> ВЛ ед.м.</t>
  </si>
  <si>
    <t>КЛ ед.м.</t>
  </si>
  <si>
    <t>С1-</t>
  </si>
  <si>
    <t>вл-0,4</t>
  </si>
  <si>
    <t>кл-0,4</t>
  </si>
  <si>
    <t>Калькулятор по расчёту платы за технологическое присоединение к элетрическим сетям ООО "ЭНЕРГОМОДУЛЬ"</t>
  </si>
  <si>
    <t>до 150</t>
  </si>
  <si>
    <t>свыше 150</t>
  </si>
  <si>
    <t>министерство строительства и жилищно-коммунального хозяйства РФ</t>
  </si>
  <si>
    <t>руб/кВт</t>
  </si>
  <si>
    <t>каждый год  министерство экономического развития Ульяновской области для Энергомодуля</t>
  </si>
  <si>
    <t>без НДС</t>
  </si>
  <si>
    <t>временная</t>
  </si>
  <si>
    <t>ТП</t>
  </si>
  <si>
    <t>0,4</t>
  </si>
  <si>
    <t>10</t>
  </si>
  <si>
    <r>
      <rPr>
        <b/>
        <sz val="10"/>
        <rFont val="Times New Roman"/>
        <family val="1"/>
        <charset val="204"/>
      </rPr>
      <t xml:space="preserve">строительство ВЛИ-0,4 кВ, СИП2 </t>
    </r>
    <r>
      <rPr>
        <b/>
        <sz val="10"/>
        <rFont val="Times New Roman"/>
        <family val="1"/>
        <charset val="204"/>
      </rPr>
      <t>3x16</t>
    </r>
  </si>
  <si>
    <r>
      <rPr>
        <b/>
        <sz val="10"/>
        <rFont val="Times New Roman"/>
        <family val="1"/>
        <charset val="204"/>
      </rPr>
      <t xml:space="preserve">строительство ВЛИ-0,4 кВ, СИП2 </t>
    </r>
    <r>
      <rPr>
        <b/>
        <sz val="10"/>
        <rFont val="Times New Roman"/>
        <family val="1"/>
        <charset val="204"/>
      </rPr>
      <t>3x25</t>
    </r>
  </si>
  <si>
    <r>
      <rPr>
        <b/>
        <sz val="10"/>
        <rFont val="Times New Roman"/>
        <family val="1"/>
        <charset val="204"/>
      </rPr>
      <t xml:space="preserve">строительство ВЛИ-0,4 кВ, СИП2 </t>
    </r>
    <r>
      <rPr>
        <b/>
        <sz val="10"/>
        <rFont val="Times New Roman"/>
        <family val="1"/>
        <charset val="204"/>
      </rPr>
      <t>3x35</t>
    </r>
  </si>
  <si>
    <r>
      <rPr>
        <b/>
        <sz val="10"/>
        <rFont val="Times New Roman"/>
        <family val="1"/>
        <charset val="204"/>
      </rPr>
      <t xml:space="preserve">строительство ВЛИ-0,4 кВ, СИП2 </t>
    </r>
    <r>
      <rPr>
        <b/>
        <sz val="10"/>
        <rFont val="Times New Roman"/>
        <family val="1"/>
        <charset val="204"/>
      </rPr>
      <t>3x50</t>
    </r>
  </si>
  <si>
    <r>
      <rPr>
        <b/>
        <sz val="10"/>
        <rFont val="Times New Roman"/>
        <family val="1"/>
        <charset val="204"/>
      </rPr>
      <t xml:space="preserve">строительство ВЛИ-0,4 кВ, СИП2 </t>
    </r>
    <r>
      <rPr>
        <b/>
        <sz val="10"/>
        <rFont val="Times New Roman"/>
        <family val="1"/>
        <charset val="204"/>
      </rPr>
      <t>3x70</t>
    </r>
  </si>
  <si>
    <r>
      <rPr>
        <b/>
        <sz val="10"/>
        <rFont val="Times New Roman"/>
        <family val="1"/>
        <charset val="204"/>
      </rPr>
      <t xml:space="preserve">строительство ВЛИ-0,4 кВ, СИП2 </t>
    </r>
    <r>
      <rPr>
        <b/>
        <sz val="10"/>
        <rFont val="Times New Roman"/>
        <family val="1"/>
        <charset val="204"/>
      </rPr>
      <t>3x95</t>
    </r>
  </si>
  <si>
    <r>
      <rPr>
        <b/>
        <sz val="10"/>
        <rFont val="Times New Roman"/>
        <family val="1"/>
        <charset val="204"/>
      </rPr>
      <t xml:space="preserve">строительство ВЛИ-0,4 кВ, СИП2 </t>
    </r>
    <r>
      <rPr>
        <b/>
        <sz val="10"/>
        <rFont val="Times New Roman"/>
        <family val="1"/>
        <charset val="204"/>
      </rPr>
      <t>3x120</t>
    </r>
  </si>
  <si>
    <r>
      <rPr>
        <b/>
        <sz val="10"/>
        <rFont val="Times New Roman"/>
        <family val="1"/>
        <charset val="204"/>
      </rPr>
      <t>строительство ВЛИ-0,4 кВ, СИП4-2х16</t>
    </r>
  </si>
  <si>
    <r>
      <rPr>
        <b/>
        <sz val="10"/>
        <rFont val="Times New Roman"/>
        <family val="1"/>
        <charset val="204"/>
      </rPr>
      <t>строительство ВЛИ-0,4 кВ, СИП4-4х25</t>
    </r>
  </si>
  <si>
    <r>
      <rPr>
        <b/>
        <sz val="10"/>
        <rFont val="Times New Roman"/>
        <family val="1"/>
        <charset val="204"/>
      </rPr>
      <t>строительство ВЛИ-0,4 кВ, СИП4-4х35</t>
    </r>
  </si>
  <si>
    <r>
      <rPr>
        <b/>
        <sz val="10"/>
        <rFont val="Times New Roman"/>
        <family val="1"/>
        <charset val="204"/>
      </rPr>
      <t>строительство ВЛИ-0,4 кВ, СИП4-4х50</t>
    </r>
  </si>
  <si>
    <r>
      <rPr>
        <b/>
        <sz val="10"/>
        <rFont val="Times New Roman"/>
        <family val="1"/>
        <charset val="204"/>
      </rPr>
      <t>строительство ВЛИ-0,4 кВ, СИП4-4х70</t>
    </r>
  </si>
  <si>
    <r>
      <rPr>
        <b/>
        <sz val="10"/>
        <rFont val="Times New Roman"/>
        <family val="1"/>
        <charset val="204"/>
      </rPr>
      <t>строительство ВЛИ-0,4 кВ, СИП4-4х95</t>
    </r>
  </si>
  <si>
    <r>
      <rPr>
        <b/>
        <sz val="10"/>
        <rFont val="Times New Roman"/>
        <family val="1"/>
        <charset val="204"/>
      </rPr>
      <t>строительство ВЛЗ-10 кВ, СИПЗ-1х35</t>
    </r>
  </si>
  <si>
    <r>
      <rPr>
        <b/>
        <sz val="10"/>
        <rFont val="Times New Roman"/>
        <family val="1"/>
        <charset val="204"/>
      </rPr>
      <t>строительство ВЛЗ-10 кВ, СИПЗ-1х50</t>
    </r>
  </si>
  <si>
    <r>
      <rPr>
        <b/>
        <sz val="10"/>
        <rFont val="Times New Roman"/>
        <family val="1"/>
        <charset val="204"/>
      </rPr>
      <t>строительство ВЛЗ-10 кВ, СИПЗ-1х70</t>
    </r>
  </si>
  <si>
    <r>
      <rPr>
        <b/>
        <sz val="10"/>
        <rFont val="Times New Roman"/>
        <family val="1"/>
        <charset val="204"/>
      </rPr>
      <t>строительство ВЛЗ-10 кВ, СИПЗ-1х95</t>
    </r>
  </si>
  <si>
    <r>
      <rPr>
        <b/>
        <sz val="10"/>
        <rFont val="Times New Roman"/>
        <family val="1"/>
        <charset val="204"/>
      </rPr>
      <t>строительство ВЛЗ-10 кВ, АС-50</t>
    </r>
  </si>
  <si>
    <r>
      <rPr>
        <b/>
        <sz val="10"/>
        <rFont val="Times New Roman"/>
        <family val="1"/>
        <charset val="204"/>
      </rPr>
      <t>строительство ВЛЗ-10 кВ, АС-70</t>
    </r>
  </si>
  <si>
    <r>
      <rPr>
        <b/>
        <sz val="10"/>
        <rFont val="Times New Roman"/>
        <family val="1"/>
        <charset val="204"/>
      </rPr>
      <t>строительство ВЛЗ-10 кВ, АС-95</t>
    </r>
  </si>
  <si>
    <r>
      <rPr>
        <b/>
        <sz val="10"/>
        <rFont val="Times New Roman"/>
        <family val="1"/>
        <charset val="204"/>
      </rPr>
      <t xml:space="preserve">строительство КЛ-0,4 кВ, АВБбШв </t>
    </r>
    <r>
      <rPr>
        <b/>
        <sz val="10"/>
        <rFont val="Times New Roman"/>
        <family val="1"/>
        <charset val="204"/>
      </rPr>
      <t>4x25</t>
    </r>
  </si>
  <si>
    <r>
      <rPr>
        <b/>
        <sz val="10"/>
        <rFont val="Times New Roman"/>
        <family val="1"/>
        <charset val="204"/>
      </rPr>
      <t xml:space="preserve">строительство КЛ-0,4 кВ, АВБбШв </t>
    </r>
    <r>
      <rPr>
        <b/>
        <sz val="10"/>
        <rFont val="Times New Roman"/>
        <family val="1"/>
        <charset val="204"/>
      </rPr>
      <t>4x120</t>
    </r>
  </si>
  <si>
    <r>
      <rPr>
        <b/>
        <sz val="10"/>
        <rFont val="Times New Roman"/>
        <family val="1"/>
        <charset val="204"/>
      </rPr>
      <t xml:space="preserve">строительство КЛ-0,4 кВ, АСБ-1 </t>
    </r>
    <r>
      <rPr>
        <b/>
        <sz val="10"/>
        <rFont val="Times New Roman"/>
        <family val="1"/>
        <charset val="204"/>
      </rPr>
      <t>4x120</t>
    </r>
  </si>
  <si>
    <r>
      <rPr>
        <b/>
        <sz val="10"/>
        <rFont val="Times New Roman"/>
        <family val="1"/>
        <charset val="204"/>
      </rPr>
      <t xml:space="preserve">строительство КЛ-0,4 кВ, АСБ-1 </t>
    </r>
    <r>
      <rPr>
        <b/>
        <sz val="10"/>
        <rFont val="Times New Roman"/>
        <family val="1"/>
        <charset val="204"/>
      </rPr>
      <t xml:space="preserve">4x120 </t>
    </r>
    <r>
      <rPr>
        <b/>
        <sz val="10"/>
        <rFont val="Times New Roman"/>
        <family val="1"/>
        <charset val="204"/>
      </rPr>
      <t>(с проколом)</t>
    </r>
  </si>
  <si>
    <r>
      <rPr>
        <b/>
        <sz val="10"/>
        <rFont val="Times New Roman"/>
        <family val="1"/>
        <charset val="204"/>
      </rPr>
      <t xml:space="preserve">строительство КЛ-0,4 кВ, АСБ-1 </t>
    </r>
    <r>
      <rPr>
        <b/>
        <sz val="10"/>
        <rFont val="Times New Roman"/>
        <family val="1"/>
        <charset val="204"/>
      </rPr>
      <t>4x150</t>
    </r>
  </si>
  <si>
    <r>
      <rPr>
        <b/>
        <sz val="10"/>
        <rFont val="Times New Roman"/>
        <family val="1"/>
        <charset val="204"/>
      </rPr>
      <t xml:space="preserve">строительство КЛ-0,4 кВ, АСБ-1 </t>
    </r>
    <r>
      <rPr>
        <b/>
        <sz val="10"/>
        <rFont val="Times New Roman"/>
        <family val="1"/>
        <charset val="204"/>
      </rPr>
      <t xml:space="preserve">4x150 </t>
    </r>
    <r>
      <rPr>
        <b/>
        <sz val="10"/>
        <rFont val="Times New Roman"/>
        <family val="1"/>
        <charset val="204"/>
      </rPr>
      <t>(с проколом)</t>
    </r>
  </si>
  <si>
    <r>
      <rPr>
        <b/>
        <sz val="10"/>
        <rFont val="Times New Roman"/>
        <family val="1"/>
        <charset val="204"/>
      </rPr>
      <t xml:space="preserve">строительство КЛ-0,4 кВ, АСБ-1 </t>
    </r>
    <r>
      <rPr>
        <b/>
        <sz val="10"/>
        <rFont val="Times New Roman"/>
        <family val="1"/>
        <charset val="204"/>
      </rPr>
      <t>4x185</t>
    </r>
  </si>
  <si>
    <r>
      <rPr>
        <b/>
        <sz val="10"/>
        <rFont val="Times New Roman"/>
        <family val="1"/>
        <charset val="204"/>
      </rPr>
      <t xml:space="preserve">строительство КЛ-0,4 кВ, АСБ-1 </t>
    </r>
    <r>
      <rPr>
        <b/>
        <sz val="10"/>
        <rFont val="Times New Roman"/>
        <family val="1"/>
        <charset val="204"/>
      </rPr>
      <t>4x240</t>
    </r>
  </si>
  <si>
    <r>
      <rPr>
        <b/>
        <sz val="10"/>
        <rFont val="Times New Roman"/>
        <family val="1"/>
        <charset val="204"/>
      </rPr>
      <t xml:space="preserve">строительство КЛ-0,4 кВ, АСБ-1 </t>
    </r>
    <r>
      <rPr>
        <b/>
        <sz val="10"/>
        <rFont val="Times New Roman"/>
        <family val="1"/>
        <charset val="204"/>
      </rPr>
      <t xml:space="preserve">4x240 </t>
    </r>
    <r>
      <rPr>
        <b/>
        <sz val="10"/>
        <rFont val="Times New Roman"/>
        <family val="1"/>
        <charset val="204"/>
      </rPr>
      <t>(с проколом)</t>
    </r>
  </si>
  <si>
    <r>
      <rPr>
        <b/>
        <sz val="10"/>
        <rFont val="Times New Roman"/>
        <family val="1"/>
        <charset val="204"/>
      </rPr>
      <t>строительство КЛ-0,4 кВ, АСАБлУ-</t>
    </r>
    <r>
      <rPr>
        <b/>
        <sz val="10"/>
        <rFont val="Times New Roman"/>
        <family val="1"/>
        <charset val="204"/>
      </rPr>
      <t>14x70</t>
    </r>
  </si>
  <si>
    <r>
      <rPr>
        <b/>
        <sz val="10"/>
        <rFont val="Times New Roman"/>
        <family val="1"/>
        <charset val="204"/>
      </rPr>
      <t>строительство КЛ-0,4 кВ, АСАБлУ-</t>
    </r>
    <r>
      <rPr>
        <b/>
        <sz val="10"/>
        <rFont val="Times New Roman"/>
        <family val="1"/>
        <charset val="204"/>
      </rPr>
      <t>14x1</t>
    </r>
    <r>
      <rPr>
        <b/>
        <sz val="10"/>
        <rFont val="Times New Roman"/>
        <family val="1"/>
        <charset val="204"/>
      </rPr>
      <t>20</t>
    </r>
  </si>
  <si>
    <r>
      <rPr>
        <b/>
        <sz val="10"/>
        <rFont val="Times New Roman"/>
        <family val="1"/>
        <charset val="204"/>
      </rPr>
      <t>строительство КЛ-0,4 кВ, АСАБлУ-14х185</t>
    </r>
  </si>
  <si>
    <r>
      <rPr>
        <b/>
        <sz val="10"/>
        <rFont val="Times New Roman"/>
        <family val="1"/>
        <charset val="204"/>
      </rPr>
      <t>строительство КЛ-0,4 кВ, АСАБлУ-</t>
    </r>
    <r>
      <rPr>
        <b/>
        <sz val="10"/>
        <rFont val="Times New Roman"/>
        <family val="1"/>
        <charset val="204"/>
      </rPr>
      <t>14x240</t>
    </r>
  </si>
  <si>
    <r>
      <rPr>
        <b/>
        <sz val="10"/>
        <rFont val="Times New Roman"/>
        <family val="1"/>
        <charset val="204"/>
      </rPr>
      <t xml:space="preserve">строительство КЛ-10(6) кВ, АСБ-10 </t>
    </r>
    <r>
      <rPr>
        <b/>
        <sz val="10"/>
        <rFont val="Times New Roman"/>
        <family val="1"/>
        <charset val="204"/>
      </rPr>
      <t>3x120</t>
    </r>
  </si>
  <si>
    <r>
      <rPr>
        <b/>
        <sz val="10"/>
        <rFont val="Times New Roman"/>
        <family val="1"/>
        <charset val="204"/>
      </rPr>
      <t xml:space="preserve">строительство КЛ-10(6) кВ, АСБ-10 </t>
    </r>
    <r>
      <rPr>
        <b/>
        <sz val="10"/>
        <rFont val="Times New Roman"/>
        <family val="1"/>
        <charset val="204"/>
      </rPr>
      <t xml:space="preserve">3x120 </t>
    </r>
    <r>
      <rPr>
        <b/>
        <sz val="10"/>
        <rFont val="Times New Roman"/>
        <family val="1"/>
        <charset val="204"/>
      </rPr>
      <t>(с проколом)</t>
    </r>
  </si>
  <si>
    <r>
      <rPr>
        <b/>
        <sz val="10"/>
        <rFont val="Times New Roman"/>
        <family val="1"/>
        <charset val="204"/>
      </rPr>
      <t xml:space="preserve">строительство КЛ-10(6) кВ, АСБ-10 </t>
    </r>
    <r>
      <rPr>
        <b/>
        <sz val="10"/>
        <rFont val="Times New Roman"/>
        <family val="1"/>
        <charset val="204"/>
      </rPr>
      <t>3x150</t>
    </r>
  </si>
  <si>
    <r>
      <rPr>
        <b/>
        <sz val="10"/>
        <rFont val="Times New Roman"/>
        <family val="1"/>
        <charset val="204"/>
      </rPr>
      <t xml:space="preserve">строительство КЛ-10(6) кВ, АСБ-10 </t>
    </r>
    <r>
      <rPr>
        <b/>
        <sz val="10"/>
        <rFont val="Times New Roman"/>
        <family val="1"/>
        <charset val="204"/>
      </rPr>
      <t xml:space="preserve">3x150 </t>
    </r>
    <r>
      <rPr>
        <b/>
        <sz val="10"/>
        <rFont val="Times New Roman"/>
        <family val="1"/>
        <charset val="204"/>
      </rPr>
      <t>(с проколом)</t>
    </r>
  </si>
  <si>
    <r>
      <rPr>
        <b/>
        <sz val="10"/>
        <rFont val="Times New Roman"/>
        <family val="1"/>
        <charset val="204"/>
      </rPr>
      <t xml:space="preserve">строительство КЛ-10(6) кВ, АСБ-10 </t>
    </r>
    <r>
      <rPr>
        <b/>
        <sz val="10"/>
        <rFont val="Times New Roman"/>
        <family val="1"/>
        <charset val="204"/>
      </rPr>
      <t>3x185</t>
    </r>
  </si>
  <si>
    <r>
      <rPr>
        <b/>
        <sz val="10"/>
        <rFont val="Times New Roman"/>
        <family val="1"/>
        <charset val="204"/>
      </rPr>
      <t xml:space="preserve">строительство КЛ-10(6) кВ, АСБ-10 </t>
    </r>
    <r>
      <rPr>
        <b/>
        <sz val="10"/>
        <rFont val="Times New Roman"/>
        <family val="1"/>
        <charset val="204"/>
      </rPr>
      <t>3x240</t>
    </r>
  </si>
  <si>
    <r>
      <rPr>
        <b/>
        <sz val="10"/>
        <rFont val="Times New Roman"/>
        <family val="1"/>
        <charset val="204"/>
      </rPr>
      <t xml:space="preserve">строительство КЛ-10(6) кВ, АСБ-10 </t>
    </r>
    <r>
      <rPr>
        <b/>
        <sz val="10"/>
        <rFont val="Times New Roman"/>
        <family val="1"/>
        <charset val="204"/>
      </rPr>
      <t xml:space="preserve">3x240 </t>
    </r>
    <r>
      <rPr>
        <b/>
        <sz val="10"/>
        <rFont val="Times New Roman"/>
        <family val="1"/>
        <charset val="204"/>
      </rPr>
      <t>(с проколом)</t>
    </r>
  </si>
  <si>
    <t>КАБЕЛЬ</t>
  </si>
  <si>
    <r>
      <rPr>
        <b/>
        <sz val="10"/>
        <rFont val="Times New Roman"/>
        <family val="1"/>
        <charset val="204"/>
      </rPr>
      <t>строительство мачтовой КТП 25-10/0,4 кВ</t>
    </r>
  </si>
  <si>
    <r>
      <rPr>
        <b/>
        <sz val="10"/>
        <rFont val="Times New Roman"/>
        <family val="1"/>
        <charset val="204"/>
      </rPr>
      <t>строительство мачтовой КТП 40-10/0,4 кВ</t>
    </r>
  </si>
  <si>
    <r>
      <rPr>
        <b/>
        <sz val="10"/>
        <rFont val="Times New Roman"/>
        <family val="1"/>
        <charset val="204"/>
      </rPr>
      <t>строительство мачтовой КТП 63-10/0,4 кВ</t>
    </r>
  </si>
  <si>
    <r>
      <rPr>
        <b/>
        <sz val="10"/>
        <rFont val="Times New Roman"/>
        <family val="1"/>
        <charset val="204"/>
      </rPr>
      <t>строительство мачтовой КТП 160-10/0,4 кВ</t>
    </r>
  </si>
  <si>
    <r>
      <rPr>
        <b/>
        <sz val="10"/>
        <rFont val="Times New Roman"/>
        <family val="1"/>
        <charset val="204"/>
      </rPr>
      <t>строительство КТП киоскового типа 100-10/0,4</t>
    </r>
  </si>
  <si>
    <r>
      <rPr>
        <b/>
        <sz val="10"/>
        <rFont val="Times New Roman"/>
        <family val="1"/>
        <charset val="204"/>
      </rPr>
      <t>строительство КТП киоскового типа 160-10/0,4</t>
    </r>
  </si>
  <si>
    <r>
      <rPr>
        <b/>
        <sz val="10"/>
        <rFont val="Times New Roman"/>
        <family val="1"/>
        <charset val="204"/>
      </rPr>
      <t>строительство КТП киоскового типа 250-10/0,4</t>
    </r>
  </si>
  <si>
    <r>
      <rPr>
        <b/>
        <sz val="10"/>
        <rFont val="Times New Roman"/>
        <family val="1"/>
        <charset val="204"/>
      </rPr>
      <t>строительство КТП киоскового типа 400-</t>
    </r>
  </si>
  <si>
    <r>
      <rPr>
        <b/>
        <sz val="10"/>
        <rFont val="Times New Roman"/>
        <family val="1"/>
        <charset val="204"/>
      </rPr>
      <t>строительство КТП киоскового типа 630-10/0,4</t>
    </r>
  </si>
  <si>
    <r>
      <rPr>
        <b/>
        <sz val="10"/>
        <rFont val="Times New Roman"/>
        <family val="1"/>
        <charset val="204"/>
      </rPr>
      <t>строительство КТП киоскового типа 1000-10/0,4</t>
    </r>
  </si>
  <si>
    <r>
      <rPr>
        <b/>
        <sz val="10"/>
        <rFont val="Times New Roman"/>
        <family val="1"/>
        <charset val="204"/>
      </rPr>
      <t xml:space="preserve">строительство двухтрансформаторной </t>
    </r>
    <r>
      <rPr>
        <b/>
        <sz val="10"/>
        <rFont val="Times New Roman"/>
        <family val="1"/>
        <charset val="204"/>
      </rPr>
      <t xml:space="preserve">Kill </t>
    </r>
    <r>
      <rPr>
        <b/>
        <sz val="10"/>
        <rFont val="Times New Roman"/>
        <family val="1"/>
        <charset val="204"/>
      </rPr>
      <t>250-10/0,4</t>
    </r>
  </si>
  <si>
    <r>
      <rPr>
        <b/>
        <sz val="10"/>
        <rFont val="Times New Roman"/>
        <family val="1"/>
        <charset val="204"/>
      </rPr>
      <t xml:space="preserve">строительство двухтрансформаторной </t>
    </r>
    <r>
      <rPr>
        <b/>
        <sz val="10"/>
        <rFont val="Times New Roman"/>
        <family val="1"/>
        <charset val="204"/>
      </rPr>
      <t xml:space="preserve">Kill </t>
    </r>
    <r>
      <rPr>
        <b/>
        <sz val="10"/>
        <rFont val="Times New Roman"/>
        <family val="1"/>
        <charset val="204"/>
      </rPr>
      <t>400-10/0,4</t>
    </r>
  </si>
  <si>
    <r>
      <rPr>
        <b/>
        <sz val="10"/>
        <rFont val="Times New Roman"/>
        <family val="1"/>
        <charset val="204"/>
      </rPr>
      <t xml:space="preserve">строительство двухтрансформаторной </t>
    </r>
    <r>
      <rPr>
        <b/>
        <sz val="10"/>
        <rFont val="Times New Roman"/>
        <family val="1"/>
        <charset val="204"/>
      </rPr>
      <t xml:space="preserve">Kill </t>
    </r>
    <r>
      <rPr>
        <b/>
        <sz val="10"/>
        <rFont val="Times New Roman"/>
        <family val="1"/>
        <charset val="204"/>
      </rPr>
      <t>630-10/0,4</t>
    </r>
  </si>
  <si>
    <r>
      <rPr>
        <b/>
        <sz val="10"/>
        <rFont val="Times New Roman"/>
        <family val="1"/>
        <charset val="204"/>
      </rPr>
      <t xml:space="preserve">строительство двухтрансформаторной </t>
    </r>
    <r>
      <rPr>
        <b/>
        <sz val="10"/>
        <rFont val="Times New Roman"/>
        <family val="1"/>
        <charset val="204"/>
      </rPr>
      <t xml:space="preserve">Kill </t>
    </r>
    <r>
      <rPr>
        <b/>
        <sz val="10"/>
        <rFont val="Times New Roman"/>
        <family val="1"/>
        <charset val="204"/>
      </rPr>
      <t>1000-10/0,4</t>
    </r>
  </si>
  <si>
    <r>
      <rPr>
        <b/>
        <sz val="10"/>
        <rFont val="Times New Roman"/>
        <family val="1"/>
        <charset val="204"/>
      </rPr>
      <t>6 305,17</t>
    </r>
  </si>
  <si>
    <r>
      <rPr>
        <b/>
        <sz val="10"/>
        <rFont val="Times New Roman"/>
        <family val="1"/>
        <charset val="204"/>
      </rPr>
      <t>3 152,59</t>
    </r>
  </si>
  <si>
    <r>
      <rPr>
        <b/>
        <sz val="10"/>
        <rFont val="Times New Roman"/>
        <family val="1"/>
        <charset val="204"/>
      </rPr>
      <t>7 094,98</t>
    </r>
  </si>
  <si>
    <r>
      <rPr>
        <b/>
        <sz val="10"/>
        <rFont val="Times New Roman"/>
        <family val="1"/>
        <charset val="204"/>
      </rPr>
      <t>3 547,49</t>
    </r>
  </si>
  <si>
    <r>
      <rPr>
        <b/>
        <sz val="10"/>
        <rFont val="Times New Roman"/>
        <family val="1"/>
        <charset val="204"/>
      </rPr>
      <t>7 514,08</t>
    </r>
  </si>
  <si>
    <r>
      <rPr>
        <b/>
        <sz val="10"/>
        <rFont val="Times New Roman"/>
        <family val="1"/>
        <charset val="204"/>
      </rPr>
      <t>3 757,04</t>
    </r>
  </si>
  <si>
    <r>
      <rPr>
        <b/>
        <sz val="10"/>
        <rFont val="Times New Roman"/>
        <family val="1"/>
        <charset val="204"/>
      </rPr>
      <t>7 841,77</t>
    </r>
  </si>
  <si>
    <r>
      <rPr>
        <b/>
        <sz val="10"/>
        <rFont val="Times New Roman"/>
        <family val="1"/>
        <charset val="204"/>
      </rPr>
      <t>3 920,88</t>
    </r>
  </si>
  <si>
    <r>
      <rPr>
        <b/>
        <sz val="10"/>
        <rFont val="Times New Roman"/>
        <family val="1"/>
        <charset val="204"/>
      </rPr>
      <t>8 292,50</t>
    </r>
  </si>
  <si>
    <r>
      <rPr>
        <b/>
        <sz val="10"/>
        <rFont val="Times New Roman"/>
        <family val="1"/>
        <charset val="204"/>
      </rPr>
      <t>4 146,25</t>
    </r>
  </si>
  <si>
    <r>
      <rPr>
        <b/>
        <sz val="10"/>
        <rFont val="Times New Roman"/>
        <family val="1"/>
        <charset val="204"/>
      </rPr>
      <t>8 668,68</t>
    </r>
  </si>
  <si>
    <r>
      <rPr>
        <b/>
        <sz val="10"/>
        <rFont val="Times New Roman"/>
        <family val="1"/>
        <charset val="204"/>
      </rPr>
      <t>4 334,34</t>
    </r>
  </si>
  <si>
    <r>
      <rPr>
        <b/>
        <sz val="10"/>
        <rFont val="Times New Roman"/>
        <family val="1"/>
        <charset val="204"/>
      </rPr>
      <t>9 789,56</t>
    </r>
  </si>
  <si>
    <r>
      <rPr>
        <b/>
        <sz val="10"/>
        <rFont val="Times New Roman"/>
        <family val="1"/>
        <charset val="204"/>
      </rPr>
      <t>4 894,78</t>
    </r>
  </si>
  <si>
    <r>
      <rPr>
        <b/>
        <sz val="10"/>
        <rFont val="Times New Roman"/>
        <family val="1"/>
        <charset val="204"/>
      </rPr>
      <t>5 968,94</t>
    </r>
  </si>
  <si>
    <r>
      <rPr>
        <b/>
        <sz val="10"/>
        <rFont val="Times New Roman"/>
        <family val="1"/>
        <charset val="204"/>
      </rPr>
      <t>2 984,47</t>
    </r>
  </si>
  <si>
    <r>
      <rPr>
        <b/>
        <sz val="10"/>
        <rFont val="Times New Roman"/>
        <family val="1"/>
        <charset val="204"/>
      </rPr>
      <t>6 512,98</t>
    </r>
  </si>
  <si>
    <r>
      <rPr>
        <b/>
        <sz val="10"/>
        <rFont val="Times New Roman"/>
        <family val="1"/>
        <charset val="204"/>
      </rPr>
      <t>3 256,49</t>
    </r>
  </si>
  <si>
    <r>
      <rPr>
        <b/>
        <sz val="10"/>
        <rFont val="Times New Roman"/>
        <family val="1"/>
        <charset val="204"/>
      </rPr>
      <t>6 922,91</t>
    </r>
  </si>
  <si>
    <r>
      <rPr>
        <b/>
        <sz val="10"/>
        <rFont val="Times New Roman"/>
        <family val="1"/>
        <charset val="204"/>
      </rPr>
      <t>3 461,45</t>
    </r>
  </si>
  <si>
    <r>
      <rPr>
        <b/>
        <sz val="10"/>
        <rFont val="Times New Roman"/>
        <family val="1"/>
        <charset val="204"/>
      </rPr>
      <t>7 221,18</t>
    </r>
  </si>
  <si>
    <r>
      <rPr>
        <b/>
        <sz val="10"/>
        <rFont val="Times New Roman"/>
        <family val="1"/>
        <charset val="204"/>
      </rPr>
      <t>3 610,59</t>
    </r>
  </si>
  <si>
    <r>
      <rPr>
        <b/>
        <sz val="10"/>
        <rFont val="Times New Roman"/>
        <family val="1"/>
        <charset val="204"/>
      </rPr>
      <t>7 608,65</t>
    </r>
  </si>
  <si>
    <r>
      <rPr>
        <b/>
        <sz val="10"/>
        <rFont val="Times New Roman"/>
        <family val="1"/>
        <charset val="204"/>
      </rPr>
      <t>3 804,33</t>
    </r>
  </si>
  <si>
    <r>
      <rPr>
        <b/>
        <sz val="10"/>
        <rFont val="Times New Roman"/>
        <family val="1"/>
        <charset val="204"/>
      </rPr>
      <t>7 996,44</t>
    </r>
  </si>
  <si>
    <r>
      <rPr>
        <b/>
        <sz val="10"/>
        <rFont val="Times New Roman"/>
        <family val="1"/>
        <charset val="204"/>
      </rPr>
      <t>3 998,22</t>
    </r>
  </si>
  <si>
    <r>
      <rPr>
        <b/>
        <sz val="10"/>
        <rFont val="Times New Roman"/>
        <family val="1"/>
        <charset val="204"/>
      </rPr>
      <t>6 504,51</t>
    </r>
  </si>
  <si>
    <r>
      <rPr>
        <b/>
        <sz val="10"/>
        <rFont val="Times New Roman"/>
        <family val="1"/>
        <charset val="204"/>
      </rPr>
      <t>3 252,26</t>
    </r>
  </si>
  <si>
    <r>
      <rPr>
        <b/>
        <sz val="10"/>
        <rFont val="Times New Roman"/>
        <family val="1"/>
        <charset val="204"/>
      </rPr>
      <t>5 394,25</t>
    </r>
  </si>
  <si>
    <r>
      <rPr>
        <b/>
        <sz val="10"/>
        <rFont val="Times New Roman"/>
        <family val="1"/>
        <charset val="204"/>
      </rPr>
      <t>2 697,13</t>
    </r>
  </si>
  <si>
    <r>
      <rPr>
        <b/>
        <sz val="10"/>
        <rFont val="Times New Roman"/>
        <family val="1"/>
        <charset val="204"/>
      </rPr>
      <t>5 725,15</t>
    </r>
  </si>
  <si>
    <r>
      <rPr>
        <b/>
        <sz val="10"/>
        <rFont val="Times New Roman"/>
        <family val="1"/>
        <charset val="204"/>
      </rPr>
      <t>2 862,58</t>
    </r>
  </si>
  <si>
    <r>
      <rPr>
        <b/>
        <sz val="10"/>
        <rFont val="Times New Roman"/>
        <family val="1"/>
        <charset val="204"/>
      </rPr>
      <t>7 475,23</t>
    </r>
  </si>
  <si>
    <r>
      <rPr>
        <b/>
        <sz val="10"/>
        <rFont val="Times New Roman"/>
        <family val="1"/>
        <charset val="204"/>
      </rPr>
      <t>3 737,62</t>
    </r>
  </si>
  <si>
    <r>
      <rPr>
        <b/>
        <sz val="10"/>
        <rFont val="Times New Roman"/>
        <family val="1"/>
        <charset val="204"/>
      </rPr>
      <t>7 895,88</t>
    </r>
  </si>
  <si>
    <r>
      <rPr>
        <b/>
        <sz val="10"/>
        <rFont val="Times New Roman"/>
        <family val="1"/>
        <charset val="204"/>
      </rPr>
      <t>3 947,94</t>
    </r>
  </si>
  <si>
    <r>
      <rPr>
        <b/>
        <sz val="10"/>
        <rFont val="Times New Roman"/>
        <family val="1"/>
        <charset val="204"/>
      </rPr>
      <t>14 425,83</t>
    </r>
  </si>
  <si>
    <r>
      <rPr>
        <b/>
        <sz val="10"/>
        <rFont val="Times New Roman"/>
        <family val="1"/>
        <charset val="204"/>
      </rPr>
      <t>7 212,92</t>
    </r>
  </si>
  <si>
    <r>
      <rPr>
        <b/>
        <sz val="10"/>
        <rFont val="Times New Roman"/>
        <family val="1"/>
        <charset val="204"/>
      </rPr>
      <t>15 124,57</t>
    </r>
  </si>
  <si>
    <r>
      <rPr>
        <b/>
        <sz val="10"/>
        <rFont val="Times New Roman"/>
        <family val="1"/>
        <charset val="204"/>
      </rPr>
      <t>7 562,28</t>
    </r>
  </si>
  <si>
    <r>
      <rPr>
        <b/>
        <sz val="10"/>
        <rFont val="Times New Roman"/>
        <family val="1"/>
        <charset val="204"/>
      </rPr>
      <t>15 745,76</t>
    </r>
  </si>
  <si>
    <r>
      <rPr>
        <b/>
        <sz val="10"/>
        <rFont val="Times New Roman"/>
        <family val="1"/>
        <charset val="204"/>
      </rPr>
      <t>7 872,88</t>
    </r>
  </si>
  <si>
    <r>
      <rPr>
        <b/>
        <sz val="10"/>
        <rFont val="Times New Roman"/>
        <family val="1"/>
        <charset val="204"/>
      </rPr>
      <t>3 095,50</t>
    </r>
  </si>
  <si>
    <r>
      <rPr>
        <b/>
        <sz val="10"/>
        <rFont val="Times New Roman"/>
        <family val="1"/>
        <charset val="204"/>
      </rPr>
      <t>1 547,75</t>
    </r>
  </si>
  <si>
    <r>
      <rPr>
        <b/>
        <sz val="10"/>
        <rFont val="Times New Roman"/>
        <family val="1"/>
        <charset val="204"/>
      </rPr>
      <t>4 833,85</t>
    </r>
  </si>
  <si>
    <r>
      <rPr>
        <b/>
        <sz val="10"/>
        <rFont val="Times New Roman"/>
        <family val="1"/>
        <charset val="204"/>
      </rPr>
      <t>2 416,93</t>
    </r>
  </si>
  <si>
    <r>
      <rPr>
        <b/>
        <sz val="10"/>
        <rFont val="Times New Roman"/>
        <family val="1"/>
        <charset val="204"/>
      </rPr>
      <t>5 621,12</t>
    </r>
  </si>
  <si>
    <r>
      <rPr>
        <b/>
        <sz val="10"/>
        <rFont val="Times New Roman"/>
        <family val="1"/>
        <charset val="204"/>
      </rPr>
      <t>2 810,56</t>
    </r>
  </si>
  <si>
    <r>
      <rPr>
        <b/>
        <sz val="10"/>
        <rFont val="Times New Roman"/>
        <family val="1"/>
        <charset val="204"/>
      </rPr>
      <t>9 830,88</t>
    </r>
  </si>
  <si>
    <r>
      <rPr>
        <b/>
        <sz val="10"/>
        <rFont val="Times New Roman"/>
        <family val="1"/>
        <charset val="204"/>
      </rPr>
      <t>4 915,44</t>
    </r>
  </si>
  <si>
    <r>
      <rPr>
        <b/>
        <sz val="10"/>
        <rFont val="Times New Roman"/>
        <family val="1"/>
        <charset val="204"/>
      </rPr>
      <t>6 570,81</t>
    </r>
  </si>
  <si>
    <r>
      <rPr>
        <b/>
        <sz val="10"/>
        <rFont val="Times New Roman"/>
        <family val="1"/>
        <charset val="204"/>
      </rPr>
      <t>3 285,40</t>
    </r>
  </si>
  <si>
    <r>
      <rPr>
        <b/>
        <sz val="10"/>
        <rFont val="Times New Roman"/>
        <family val="1"/>
        <charset val="204"/>
      </rPr>
      <t>10 453,64</t>
    </r>
  </si>
  <si>
    <r>
      <rPr>
        <b/>
        <sz val="10"/>
        <rFont val="Times New Roman"/>
        <family val="1"/>
        <charset val="204"/>
      </rPr>
      <t>5 226,82</t>
    </r>
  </si>
  <si>
    <r>
      <rPr>
        <b/>
        <sz val="10"/>
        <rFont val="Times New Roman"/>
        <family val="1"/>
        <charset val="204"/>
      </rPr>
      <t>7 022,09</t>
    </r>
  </si>
  <si>
    <r>
      <rPr>
        <b/>
        <sz val="10"/>
        <rFont val="Times New Roman"/>
        <family val="1"/>
        <charset val="204"/>
      </rPr>
      <t>3 511,05</t>
    </r>
  </si>
  <si>
    <r>
      <rPr>
        <b/>
        <sz val="10"/>
        <rFont val="Times New Roman"/>
        <family val="1"/>
        <charset val="204"/>
      </rPr>
      <t>11 418,87</t>
    </r>
  </si>
  <si>
    <r>
      <rPr>
        <b/>
        <sz val="10"/>
        <rFont val="Times New Roman"/>
        <family val="1"/>
        <charset val="204"/>
      </rPr>
      <t>5 709,44</t>
    </r>
  </si>
  <si>
    <r>
      <rPr>
        <b/>
        <sz val="10"/>
        <rFont val="Times New Roman"/>
        <family val="1"/>
        <charset val="204"/>
      </rPr>
      <t>7 630,06</t>
    </r>
  </si>
  <si>
    <r>
      <rPr>
        <b/>
        <sz val="10"/>
        <rFont val="Times New Roman"/>
        <family val="1"/>
        <charset val="204"/>
      </rPr>
      <t>3 815,03</t>
    </r>
  </si>
  <si>
    <r>
      <rPr>
        <b/>
        <sz val="10"/>
        <rFont val="Times New Roman"/>
        <family val="1"/>
        <charset val="204"/>
      </rPr>
      <t>12 310,94</t>
    </r>
  </si>
  <si>
    <r>
      <rPr>
        <b/>
        <sz val="10"/>
        <rFont val="Times New Roman"/>
        <family val="1"/>
        <charset val="204"/>
      </rPr>
      <t>6 155,47</t>
    </r>
  </si>
  <si>
    <r>
      <rPr>
        <b/>
        <sz val="10"/>
        <rFont val="Times New Roman"/>
        <family val="1"/>
        <charset val="204"/>
      </rPr>
      <t>8 713,82</t>
    </r>
  </si>
  <si>
    <r>
      <rPr>
        <b/>
        <sz val="10"/>
        <rFont val="Times New Roman"/>
        <family val="1"/>
        <charset val="204"/>
      </rPr>
      <t>4 356,91</t>
    </r>
  </si>
  <si>
    <r>
      <rPr>
        <b/>
        <sz val="10"/>
        <rFont val="Times New Roman"/>
        <family val="1"/>
        <charset val="204"/>
      </rPr>
      <t>10 027,19</t>
    </r>
  </si>
  <si>
    <r>
      <rPr>
        <b/>
        <sz val="10"/>
        <rFont val="Times New Roman"/>
        <family val="1"/>
        <charset val="204"/>
      </rPr>
      <t>5 013,59</t>
    </r>
  </si>
  <si>
    <r>
      <rPr>
        <b/>
        <sz val="10"/>
        <rFont val="Times New Roman"/>
        <family val="1"/>
        <charset val="204"/>
      </rPr>
      <t>11 292,99</t>
    </r>
  </si>
  <si>
    <r>
      <rPr>
        <b/>
        <sz val="10"/>
        <rFont val="Times New Roman"/>
        <family val="1"/>
        <charset val="204"/>
      </rPr>
      <t>5 646,49</t>
    </r>
  </si>
  <si>
    <r>
      <rPr>
        <b/>
        <sz val="10"/>
        <rFont val="Times New Roman"/>
        <family val="1"/>
        <charset val="204"/>
      </rPr>
      <t>12 099,43</t>
    </r>
  </si>
  <si>
    <r>
      <rPr>
        <b/>
        <sz val="10"/>
        <rFont val="Times New Roman"/>
        <family val="1"/>
        <charset val="204"/>
      </rPr>
      <t>6 049,71</t>
    </r>
  </si>
  <si>
    <r>
      <rPr>
        <b/>
        <sz val="10"/>
        <rFont val="Times New Roman"/>
        <family val="1"/>
        <charset val="204"/>
      </rPr>
      <t>8 189,87</t>
    </r>
  </si>
  <si>
    <r>
      <rPr>
        <b/>
        <sz val="10"/>
        <rFont val="Times New Roman"/>
        <family val="1"/>
        <charset val="204"/>
      </rPr>
      <t>4 094,94</t>
    </r>
  </si>
  <si>
    <r>
      <rPr>
        <b/>
        <sz val="10"/>
        <rFont val="Times New Roman"/>
        <family val="1"/>
        <charset val="204"/>
      </rPr>
      <t>11 755,99</t>
    </r>
  </si>
  <si>
    <r>
      <rPr>
        <b/>
        <sz val="10"/>
        <rFont val="Times New Roman"/>
        <family val="1"/>
        <charset val="204"/>
      </rPr>
      <t>5 877,99</t>
    </r>
  </si>
  <si>
    <r>
      <rPr>
        <b/>
        <sz val="10"/>
        <rFont val="Times New Roman"/>
        <family val="1"/>
        <charset val="204"/>
      </rPr>
      <t>9 257,33</t>
    </r>
  </si>
  <si>
    <r>
      <rPr>
        <b/>
        <sz val="10"/>
        <rFont val="Times New Roman"/>
        <family val="1"/>
        <charset val="204"/>
      </rPr>
      <t>4 628,66</t>
    </r>
  </si>
  <si>
    <r>
      <rPr>
        <b/>
        <sz val="10"/>
        <rFont val="Times New Roman"/>
        <family val="1"/>
        <charset val="204"/>
      </rPr>
      <t>12 922,42</t>
    </r>
  </si>
  <si>
    <r>
      <rPr>
        <b/>
        <sz val="10"/>
        <rFont val="Times New Roman"/>
        <family val="1"/>
        <charset val="204"/>
      </rPr>
      <t>6 461,21</t>
    </r>
  </si>
  <si>
    <r>
      <rPr>
        <b/>
        <sz val="10"/>
        <rFont val="Times New Roman"/>
        <family val="1"/>
        <charset val="204"/>
      </rPr>
      <t>10 387,32</t>
    </r>
  </si>
  <si>
    <r>
      <rPr>
        <b/>
        <sz val="10"/>
        <rFont val="Times New Roman"/>
        <family val="1"/>
        <charset val="204"/>
      </rPr>
      <t>5 193,66</t>
    </r>
  </si>
  <si>
    <r>
      <rPr>
        <b/>
        <sz val="10"/>
        <rFont val="Times New Roman"/>
        <family val="1"/>
        <charset val="204"/>
      </rPr>
      <t>14 062,60</t>
    </r>
  </si>
  <si>
    <r>
      <rPr>
        <b/>
        <sz val="10"/>
        <rFont val="Times New Roman"/>
        <family val="1"/>
        <charset val="204"/>
      </rPr>
      <t>7 031,30</t>
    </r>
  </si>
  <si>
    <r>
      <rPr>
        <b/>
        <sz val="10"/>
        <rFont val="Times New Roman"/>
        <family val="1"/>
        <charset val="204"/>
      </rPr>
      <t>11 849,65</t>
    </r>
  </si>
  <si>
    <r>
      <rPr>
        <b/>
        <sz val="10"/>
        <rFont val="Times New Roman"/>
        <family val="1"/>
        <charset val="204"/>
      </rPr>
      <t>5 924,83</t>
    </r>
  </si>
  <si>
    <r>
      <rPr>
        <b/>
        <sz val="10"/>
        <rFont val="Times New Roman"/>
        <family val="1"/>
        <charset val="204"/>
      </rPr>
      <t>15 240,30</t>
    </r>
  </si>
  <si>
    <r>
      <rPr>
        <b/>
        <sz val="10"/>
        <rFont val="Times New Roman"/>
        <family val="1"/>
        <charset val="204"/>
      </rPr>
      <t>7 620,15</t>
    </r>
  </si>
  <si>
    <r>
      <rPr>
        <b/>
        <sz val="10"/>
        <rFont val="Times New Roman"/>
        <family val="1"/>
        <charset val="204"/>
      </rPr>
      <t>23 336,32</t>
    </r>
  </si>
  <si>
    <r>
      <rPr>
        <b/>
        <sz val="10"/>
        <rFont val="Times New Roman"/>
        <family val="1"/>
        <charset val="204"/>
      </rPr>
      <t>11 668,2</t>
    </r>
  </si>
  <si>
    <r>
      <rPr>
        <b/>
        <sz val="10"/>
        <rFont val="Times New Roman"/>
        <family val="1"/>
        <charset val="204"/>
      </rPr>
      <t>15 623,70</t>
    </r>
  </si>
  <si>
    <r>
      <rPr>
        <b/>
        <sz val="10"/>
        <rFont val="Times New Roman"/>
        <family val="1"/>
        <charset val="204"/>
      </rPr>
      <t>7 811,85</t>
    </r>
  </si>
  <si>
    <r>
      <rPr>
        <b/>
        <sz val="10"/>
        <rFont val="Times New Roman"/>
        <family val="1"/>
        <charset val="204"/>
      </rPr>
      <t>10 489,64</t>
    </r>
  </si>
  <si>
    <r>
      <rPr>
        <b/>
        <sz val="10"/>
        <rFont val="Times New Roman"/>
        <family val="1"/>
        <charset val="204"/>
      </rPr>
      <t>5 244,82</t>
    </r>
  </si>
  <si>
    <r>
      <rPr>
        <b/>
        <sz val="10"/>
        <rFont val="Times New Roman"/>
        <family val="1"/>
        <charset val="204"/>
      </rPr>
      <t>4 330,48</t>
    </r>
  </si>
  <si>
    <r>
      <rPr>
        <b/>
        <sz val="10"/>
        <rFont val="Times New Roman"/>
        <family val="1"/>
        <charset val="204"/>
      </rPr>
      <t>2 165,24</t>
    </r>
  </si>
  <si>
    <r>
      <rPr>
        <b/>
        <sz val="10"/>
        <rFont val="Times New Roman"/>
        <family val="1"/>
        <charset val="204"/>
      </rPr>
      <t>9 252,68</t>
    </r>
  </si>
  <si>
    <r>
      <rPr>
        <b/>
        <sz val="10"/>
        <rFont val="Times New Roman"/>
        <family val="1"/>
        <charset val="204"/>
      </rPr>
      <t>4 626,34</t>
    </r>
  </si>
  <si>
    <r>
      <rPr>
        <b/>
        <sz val="10"/>
        <rFont val="Times New Roman"/>
        <family val="1"/>
        <charset val="204"/>
      </rPr>
      <t>6 562,44</t>
    </r>
  </si>
  <si>
    <r>
      <rPr>
        <b/>
        <sz val="10"/>
        <rFont val="Times New Roman"/>
        <family val="1"/>
        <charset val="204"/>
      </rPr>
      <t>3 281,22</t>
    </r>
  </si>
  <si>
    <r>
      <rPr>
        <b/>
        <sz val="10"/>
        <rFont val="Times New Roman"/>
        <family val="1"/>
        <charset val="204"/>
      </rPr>
      <t>4 929,84</t>
    </r>
  </si>
  <si>
    <r>
      <rPr>
        <b/>
        <sz val="10"/>
        <rFont val="Times New Roman"/>
        <family val="1"/>
        <charset val="204"/>
      </rPr>
      <t>2 464,92</t>
    </r>
  </si>
  <si>
    <r>
      <rPr>
        <b/>
        <sz val="10"/>
        <rFont val="Times New Roman"/>
        <family val="1"/>
        <charset val="204"/>
      </rPr>
      <t>3 984,52</t>
    </r>
  </si>
  <si>
    <r>
      <rPr>
        <b/>
        <sz val="10"/>
        <rFont val="Times New Roman"/>
        <family val="1"/>
        <charset val="204"/>
      </rPr>
      <t>1 992,26</t>
    </r>
  </si>
  <si>
    <r>
      <rPr>
        <b/>
        <sz val="10"/>
        <rFont val="Times New Roman"/>
        <family val="1"/>
        <charset val="204"/>
      </rPr>
      <t>3 365,21</t>
    </r>
  </si>
  <si>
    <r>
      <rPr>
        <b/>
        <sz val="10"/>
        <rFont val="Times New Roman"/>
        <family val="1"/>
        <charset val="204"/>
      </rPr>
      <t>1 682,61</t>
    </r>
  </si>
  <si>
    <r>
      <rPr>
        <b/>
        <sz val="10"/>
        <rFont val="Times New Roman"/>
        <family val="1"/>
        <charset val="204"/>
      </rPr>
      <t>3 571,73</t>
    </r>
  </si>
  <si>
    <r>
      <rPr>
        <b/>
        <sz val="10"/>
        <rFont val="Times New Roman"/>
        <family val="1"/>
        <charset val="204"/>
      </rPr>
      <t>1 785,87</t>
    </r>
  </si>
  <si>
    <r>
      <rPr>
        <b/>
        <sz val="10"/>
        <rFont val="Times New Roman"/>
        <family val="1"/>
        <charset val="204"/>
      </rPr>
      <t>15 988,54</t>
    </r>
  </si>
  <si>
    <r>
      <rPr>
        <b/>
        <sz val="10"/>
        <rFont val="Times New Roman"/>
        <family val="1"/>
        <charset val="204"/>
      </rPr>
      <t>7 994,27</t>
    </r>
  </si>
  <si>
    <r>
      <rPr>
        <b/>
        <sz val="10"/>
        <rFont val="Times New Roman"/>
        <family val="1"/>
        <charset val="204"/>
      </rPr>
      <t>10 595,94</t>
    </r>
  </si>
  <si>
    <r>
      <rPr>
        <b/>
        <sz val="10"/>
        <rFont val="Times New Roman"/>
        <family val="1"/>
        <charset val="204"/>
      </rPr>
      <t>5 297,97</t>
    </r>
  </si>
  <si>
    <r>
      <rPr>
        <b/>
        <sz val="10"/>
        <rFont val="Times New Roman"/>
        <family val="1"/>
        <charset val="204"/>
      </rPr>
      <t>7 938,86</t>
    </r>
  </si>
  <si>
    <r>
      <rPr>
        <b/>
        <sz val="10"/>
        <rFont val="Times New Roman"/>
        <family val="1"/>
        <charset val="204"/>
      </rPr>
      <t>3 969,43</t>
    </r>
  </si>
  <si>
    <r>
      <rPr>
        <b/>
        <sz val="10"/>
        <rFont val="Times New Roman"/>
        <family val="1"/>
        <charset val="204"/>
      </rPr>
      <t>5 792,28</t>
    </r>
  </si>
  <si>
    <r>
      <rPr>
        <b/>
        <sz val="10"/>
        <rFont val="Times New Roman"/>
        <family val="1"/>
        <charset val="204"/>
      </rPr>
      <t>2 896,14</t>
    </r>
  </si>
  <si>
    <t>Марка ВЛ</t>
  </si>
  <si>
    <t>Марка КЛ</t>
  </si>
  <si>
    <t>2*250</t>
  </si>
  <si>
    <t>2*400</t>
  </si>
  <si>
    <t>2*630</t>
  </si>
  <si>
    <t>2*1000</t>
  </si>
  <si>
    <t>25 Мачтовая</t>
  </si>
  <si>
    <t>40 Мачтовая</t>
  </si>
  <si>
    <t>63 Мачтовая</t>
  </si>
  <si>
    <t>160 Мачтовая</t>
  </si>
  <si>
    <t>руб. (с НДС)</t>
  </si>
  <si>
    <t>МАКСИМАЛЬНАЯ МОЩНОСТЬ</t>
  </si>
  <si>
    <r>
      <rPr>
        <b/>
        <sz val="10"/>
        <rFont val="Times New Roman"/>
        <family val="1"/>
        <charset val="204"/>
      </rPr>
      <t>строительство ВЛЗ-10 кВ, СИЛЗ- 1 х120</t>
    </r>
  </si>
  <si>
    <r>
      <rPr>
        <b/>
        <sz val="10"/>
        <rFont val="Times New Roman"/>
        <family val="1"/>
        <charset val="204"/>
      </rPr>
      <t>строительство одноцепной ВЛ-35 кВ на железобетонных промежуточных и металлических анкерных опорах с проводом АС-95</t>
    </r>
  </si>
  <si>
    <r>
      <rPr>
        <b/>
        <sz val="10"/>
        <rFont val="Times New Roman"/>
        <family val="1"/>
        <charset val="204"/>
      </rPr>
      <t>строительство двухцепной ВЛ-35 кВ на железобетонных промежуточных и металлических анкерных опорах с проводом АС-95</t>
    </r>
  </si>
  <si>
    <r>
      <rPr>
        <b/>
        <sz val="10"/>
        <rFont val="Times New Roman"/>
        <family val="1"/>
        <charset val="204"/>
      </rPr>
      <t>строительство одноцепной ВЛ-35 кВ на железобетонных промежуточных и металлических анкерных опорах с проводом АС-120</t>
    </r>
  </si>
  <si>
    <r>
      <rPr>
        <b/>
        <sz val="10"/>
        <rFont val="Times New Roman"/>
        <family val="1"/>
        <charset val="204"/>
      </rPr>
      <t>строительство двухцепной ВЛ-35 кВ на железобетонных промежуточных и металлических анкерных опорах с проводом АС-120</t>
    </r>
  </si>
  <si>
    <r>
      <rPr>
        <b/>
        <sz val="10"/>
        <rFont val="Times New Roman"/>
        <family val="1"/>
        <charset val="204"/>
      </rPr>
      <t>строительство одноцепной ВЛ-110 кВ на железобетонных промежуточных и металлических анкерных опорах с проводом АС-95</t>
    </r>
  </si>
  <si>
    <r>
      <rPr>
        <b/>
        <sz val="10"/>
        <rFont val="Times New Roman"/>
        <family val="1"/>
        <charset val="204"/>
      </rPr>
      <t>строительство одноцепной ВЛ-110 кВ на железобетонных промежуточных и металлических анкерных опорах с проводом АС-120</t>
    </r>
  </si>
  <si>
    <r>
      <rPr>
        <b/>
        <sz val="10"/>
        <rFont val="Times New Roman"/>
        <family val="1"/>
        <charset val="204"/>
      </rPr>
      <t>строительство двухцепной ВЛ-110 кВ на железобетонных промежуточных и металлических анкерных опорах с проводом АС-95</t>
    </r>
  </si>
  <si>
    <r>
      <rPr>
        <b/>
        <sz val="10"/>
        <rFont val="Times New Roman"/>
        <family val="1"/>
        <charset val="204"/>
      </rPr>
      <t>строительство двухцепной ВЛ-110 кВ на железобетонных промежуточных и металлических анкерных опорах с проводом АС-120.</t>
    </r>
  </si>
  <si>
    <r>
      <rPr>
        <b/>
        <sz val="10"/>
        <rFont val="Times New Roman"/>
        <family val="1"/>
        <charset val="204"/>
      </rPr>
      <t xml:space="preserve">строительство КЛ-0,4 кВ, АСБ-1 </t>
    </r>
    <r>
      <rPr>
        <b/>
        <sz val="10"/>
        <rFont val="Times New Roman"/>
        <family val="1"/>
        <charset val="204"/>
      </rPr>
      <t xml:space="preserve">4x185 </t>
    </r>
    <r>
      <rPr>
        <b/>
        <sz val="10"/>
        <rFont val="Times New Roman"/>
        <family val="1"/>
        <charset val="204"/>
      </rPr>
      <t>(с проколом)</t>
    </r>
  </si>
  <si>
    <r>
      <rPr>
        <b/>
        <sz val="10"/>
        <rFont val="Times New Roman"/>
        <family val="1"/>
        <charset val="204"/>
      </rPr>
      <t>строительство КЛ-0,4 кВ, АСАБлУ-14х70</t>
    </r>
  </si>
  <si>
    <r>
      <rPr>
        <b/>
        <sz val="10"/>
        <rFont val="Times New Roman"/>
        <family val="1"/>
        <charset val="204"/>
      </rPr>
      <t>строительство КЛ-0,4 кВ, АСАБлУ-14х120</t>
    </r>
  </si>
  <si>
    <r>
      <rPr>
        <b/>
        <sz val="10"/>
        <rFont val="Times New Roman"/>
        <family val="1"/>
        <charset val="204"/>
      </rPr>
      <t>строительство КЛ-0,4 кВ, АСАБлУ-14х240</t>
    </r>
  </si>
  <si>
    <r>
      <rPr>
        <b/>
        <sz val="10"/>
        <rFont val="Times New Roman"/>
        <family val="1"/>
        <charset val="204"/>
      </rPr>
      <t xml:space="preserve">строительство КЛ-10(6) кВ, ААШв </t>
    </r>
    <r>
      <rPr>
        <b/>
        <sz val="10"/>
        <rFont val="Times New Roman"/>
        <family val="1"/>
        <charset val="204"/>
      </rPr>
      <t xml:space="preserve">3x50 </t>
    </r>
    <r>
      <rPr>
        <b/>
        <sz val="10"/>
        <rFont val="Times New Roman"/>
        <family val="1"/>
        <charset val="204"/>
      </rPr>
      <t>(в трубе)</t>
    </r>
  </si>
  <si>
    <r>
      <rPr>
        <b/>
        <sz val="10"/>
        <rFont val="Times New Roman"/>
        <family val="1"/>
        <charset val="204"/>
      </rPr>
      <t xml:space="preserve">строительство КЛ-10(6) кВ, ААБлУ </t>
    </r>
    <r>
      <rPr>
        <b/>
        <sz val="10"/>
        <rFont val="Times New Roman"/>
        <family val="1"/>
        <charset val="204"/>
      </rPr>
      <t xml:space="preserve">3x70 </t>
    </r>
    <r>
      <rPr>
        <b/>
        <sz val="10"/>
        <rFont val="Times New Roman"/>
        <family val="1"/>
        <charset val="204"/>
      </rPr>
      <t>(2 кабеля в траншее, комтоннеле)</t>
    </r>
  </si>
  <si>
    <r>
      <rPr>
        <b/>
        <sz val="10"/>
        <rFont val="Times New Roman"/>
        <family val="1"/>
        <charset val="204"/>
      </rPr>
      <t xml:space="preserve">строительство КЛ-10(6) кВ, ААБлУ </t>
    </r>
    <r>
      <rPr>
        <b/>
        <sz val="10"/>
        <rFont val="Times New Roman"/>
        <family val="1"/>
        <charset val="204"/>
      </rPr>
      <t xml:space="preserve">3x95 </t>
    </r>
    <r>
      <rPr>
        <b/>
        <sz val="10"/>
        <rFont val="Times New Roman"/>
        <family val="1"/>
        <charset val="204"/>
      </rPr>
      <t>(2 кабеля в траншее, комтоннеле)</t>
    </r>
  </si>
  <si>
    <r>
      <rPr>
        <b/>
        <sz val="10"/>
        <rFont val="Times New Roman"/>
        <family val="1"/>
        <charset val="204"/>
      </rPr>
      <t xml:space="preserve">строительство КЛ-10(6) кВ, ААБлУ </t>
    </r>
    <r>
      <rPr>
        <b/>
        <sz val="10"/>
        <rFont val="Times New Roman"/>
        <family val="1"/>
        <charset val="204"/>
      </rPr>
      <t xml:space="preserve">3x120 </t>
    </r>
    <r>
      <rPr>
        <b/>
        <sz val="10"/>
        <rFont val="Times New Roman"/>
        <family val="1"/>
        <charset val="204"/>
      </rPr>
      <t>(2 кабеля в траншее, комтоннеле)</t>
    </r>
  </si>
  <si>
    <r>
      <rPr>
        <b/>
        <sz val="10"/>
        <rFont val="Times New Roman"/>
        <family val="1"/>
        <charset val="204"/>
      </rPr>
      <t xml:space="preserve">строительство КЛ-10(6) кВ, ААБлУ </t>
    </r>
    <r>
      <rPr>
        <b/>
        <sz val="10"/>
        <rFont val="Times New Roman"/>
        <family val="1"/>
        <charset val="204"/>
      </rPr>
      <t xml:space="preserve">3x150 </t>
    </r>
    <r>
      <rPr>
        <b/>
        <sz val="10"/>
        <rFont val="Times New Roman"/>
        <family val="1"/>
        <charset val="204"/>
      </rPr>
      <t>(2 кабеля в траншее, комтоннеле)</t>
    </r>
  </si>
  <si>
    <r>
      <rPr>
        <b/>
        <sz val="10"/>
        <rFont val="Times New Roman"/>
        <family val="1"/>
        <charset val="204"/>
      </rPr>
      <t xml:space="preserve">строительство КЛ-10(6) кВ, ААБлУ </t>
    </r>
    <r>
      <rPr>
        <b/>
        <sz val="10"/>
        <rFont val="Times New Roman"/>
        <family val="1"/>
        <charset val="204"/>
      </rPr>
      <t xml:space="preserve">3x185 </t>
    </r>
    <r>
      <rPr>
        <b/>
        <sz val="10"/>
        <rFont val="Times New Roman"/>
        <family val="1"/>
        <charset val="204"/>
      </rPr>
      <t>(2 кабеля в траншее, комтоннеле)</t>
    </r>
  </si>
  <si>
    <r>
      <rPr>
        <b/>
        <sz val="10"/>
        <rFont val="Times New Roman"/>
        <family val="1"/>
        <charset val="204"/>
      </rPr>
      <t xml:space="preserve">строительство КЛ-10(6) кВ, ААБлУ </t>
    </r>
    <r>
      <rPr>
        <b/>
        <sz val="10"/>
        <rFont val="Times New Roman"/>
        <family val="1"/>
        <charset val="204"/>
      </rPr>
      <t xml:space="preserve">3x240 </t>
    </r>
    <r>
      <rPr>
        <b/>
        <sz val="10"/>
        <rFont val="Times New Roman"/>
        <family val="1"/>
        <charset val="204"/>
      </rPr>
      <t>(2 кабеля в траншее, комтоннеле)</t>
    </r>
  </si>
  <si>
    <t>строительство КЛ-10(6) кВ, АСБГУ; АСБлУ 3x70 (с про-колом, 2 кабеля в траншее, комтоннеле)</t>
  </si>
  <si>
    <r>
      <rPr>
        <b/>
        <sz val="10"/>
        <rFont val="Times New Roman"/>
        <family val="1"/>
        <charset val="204"/>
      </rPr>
      <t xml:space="preserve">строительство КЛ-10(6) кВ, АСБГУ; АСБлУ </t>
    </r>
    <r>
      <rPr>
        <b/>
        <sz val="10"/>
        <rFont val="Times New Roman"/>
        <family val="1"/>
        <charset val="204"/>
      </rPr>
      <t xml:space="preserve">3x95 </t>
    </r>
    <r>
      <rPr>
        <b/>
        <sz val="10"/>
        <rFont val="Times New Roman"/>
        <family val="1"/>
        <charset val="204"/>
      </rPr>
      <t>(с проколом, 2 кабеля в траншее, комтоннеле)</t>
    </r>
  </si>
  <si>
    <r>
      <rPr>
        <b/>
        <sz val="10"/>
        <rFont val="Times New Roman"/>
        <family val="1"/>
        <charset val="204"/>
      </rPr>
      <t xml:space="preserve">строительство КЛ-10(6) кВ, АСБГУ; АСБлУ </t>
    </r>
    <r>
      <rPr>
        <b/>
        <sz val="10"/>
        <rFont val="Times New Roman"/>
        <family val="1"/>
        <charset val="204"/>
      </rPr>
      <t xml:space="preserve">3x120 </t>
    </r>
    <r>
      <rPr>
        <b/>
        <sz val="10"/>
        <rFont val="Times New Roman"/>
        <family val="1"/>
        <charset val="204"/>
      </rPr>
      <t>(с проколом, 2 кабеля в траншее, комтоннеле)</t>
    </r>
  </si>
  <si>
    <r>
      <rPr>
        <b/>
        <sz val="10"/>
        <rFont val="Times New Roman"/>
        <family val="1"/>
        <charset val="204"/>
      </rPr>
      <t xml:space="preserve">строительство КЛ-10(6) кВ, АСБГУ; АСБлУ </t>
    </r>
    <r>
      <rPr>
        <b/>
        <sz val="10"/>
        <rFont val="Times New Roman"/>
        <family val="1"/>
        <charset val="204"/>
      </rPr>
      <t xml:space="preserve">3x185 </t>
    </r>
    <r>
      <rPr>
        <b/>
        <sz val="10"/>
        <rFont val="Times New Roman"/>
        <family val="1"/>
        <charset val="204"/>
      </rPr>
      <t>(с проколом, 2 кабеля в траншее, комтоннеле)</t>
    </r>
  </si>
  <si>
    <r>
      <rPr>
        <b/>
        <sz val="10"/>
        <rFont val="Times New Roman"/>
        <family val="1"/>
        <charset val="204"/>
      </rPr>
      <t xml:space="preserve">строительство КЛ-10(6) кВ, АСБГУ; АСБлУ </t>
    </r>
    <r>
      <rPr>
        <b/>
        <sz val="10"/>
        <rFont val="Times New Roman"/>
        <family val="1"/>
        <charset val="204"/>
      </rPr>
      <t xml:space="preserve">3x240 </t>
    </r>
    <r>
      <rPr>
        <b/>
        <sz val="10"/>
        <rFont val="Times New Roman"/>
        <family val="1"/>
        <charset val="204"/>
      </rPr>
      <t>(с проколом, 2 кабеля в траншее, комтоннеле)</t>
    </r>
  </si>
  <si>
    <r>
      <rPr>
        <b/>
        <sz val="10"/>
        <rFont val="Times New Roman"/>
        <family val="1"/>
        <charset val="204"/>
      </rPr>
      <t>строительство КЛ-10(6) кВ, АПвПг 3x240/70 (с проколом, 2 кабеля в траншее, комтоннеле)</t>
    </r>
  </si>
  <si>
    <r>
      <rPr>
        <b/>
        <sz val="10"/>
        <rFont val="Times New Roman"/>
        <family val="1"/>
        <charset val="204"/>
      </rPr>
      <t>строительство КЛ-10(6) кВ, АПвПг 3x1x500/70 (с проколом, 2 кабеля в траншее, комтоннеле)</t>
    </r>
  </si>
  <si>
    <r>
      <rPr>
        <b/>
        <sz val="10"/>
        <rFont val="Times New Roman"/>
        <family val="1"/>
        <charset val="204"/>
      </rPr>
      <t xml:space="preserve">строительство КЛ-10(6) кВ, АСБлУ </t>
    </r>
    <r>
      <rPr>
        <b/>
        <sz val="10"/>
        <rFont val="Times New Roman"/>
        <family val="1"/>
        <charset val="204"/>
      </rPr>
      <t xml:space="preserve">3x70 </t>
    </r>
    <r>
      <rPr>
        <b/>
        <sz val="10"/>
        <rFont val="Times New Roman"/>
        <family val="1"/>
        <charset val="204"/>
      </rPr>
      <t>(с проколом, 1 кабель в траншее)</t>
    </r>
  </si>
  <si>
    <r>
      <rPr>
        <b/>
        <sz val="10"/>
        <rFont val="Times New Roman"/>
        <family val="1"/>
        <charset val="204"/>
      </rPr>
      <t xml:space="preserve">строительство КЛ-10(6) кВ, АСБлУ </t>
    </r>
    <r>
      <rPr>
        <b/>
        <sz val="10"/>
        <rFont val="Times New Roman"/>
        <family val="1"/>
        <charset val="204"/>
      </rPr>
      <t xml:space="preserve">3x120 </t>
    </r>
    <r>
      <rPr>
        <b/>
        <sz val="10"/>
        <rFont val="Times New Roman"/>
        <family val="1"/>
        <charset val="204"/>
      </rPr>
      <t>(с проколом, 1 кабель в траншее)</t>
    </r>
  </si>
  <si>
    <r>
      <rPr>
        <b/>
        <sz val="10"/>
        <rFont val="Times New Roman"/>
        <family val="1"/>
        <charset val="204"/>
      </rPr>
      <t>строительство КЛ-35 кВ в земле кабелем из сшитого полиэтилена с номинальным сечением жил 50 мм2</t>
    </r>
  </si>
  <si>
    <r>
      <rPr>
        <b/>
        <sz val="10"/>
        <rFont val="Times New Roman"/>
        <family val="1"/>
        <charset val="204"/>
      </rPr>
      <t>строительство КЛ-35 кВ в земле кабелем из сшитого полиэтилена с номинальным сечением жил 70 мм2</t>
    </r>
  </si>
  <si>
    <r>
      <rPr>
        <b/>
        <sz val="10"/>
        <rFont val="Times New Roman"/>
        <family val="1"/>
        <charset val="204"/>
      </rPr>
      <t xml:space="preserve">строительство </t>
    </r>
    <r>
      <rPr>
        <b/>
        <sz val="10"/>
        <rFont val="Times New Roman"/>
        <family val="1"/>
        <charset val="204"/>
      </rPr>
      <t xml:space="preserve">Kill </t>
    </r>
    <r>
      <rPr>
        <b/>
        <sz val="10"/>
        <rFont val="Times New Roman"/>
        <family val="1"/>
        <charset val="204"/>
      </rPr>
      <t>киоскового типа 160-10/0,4</t>
    </r>
  </si>
  <si>
    <r>
      <rPr>
        <b/>
        <sz val="10"/>
        <rFont val="Times New Roman"/>
        <family val="1"/>
        <charset val="204"/>
      </rPr>
      <t xml:space="preserve">строительство </t>
    </r>
    <r>
      <rPr>
        <b/>
        <sz val="10"/>
        <rFont val="Times New Roman"/>
        <family val="1"/>
        <charset val="204"/>
      </rPr>
      <t xml:space="preserve">Kill </t>
    </r>
    <r>
      <rPr>
        <b/>
        <sz val="10"/>
        <rFont val="Times New Roman"/>
        <family val="1"/>
        <charset val="204"/>
      </rPr>
      <t>киоскового типа 250-10/0,4</t>
    </r>
  </si>
  <si>
    <r>
      <rPr>
        <b/>
        <sz val="10"/>
        <rFont val="Times New Roman"/>
        <family val="1"/>
        <charset val="204"/>
      </rPr>
      <t>строительство КТП киоскового типа 400-10/0,4</t>
    </r>
  </si>
  <si>
    <r>
      <rPr>
        <b/>
        <sz val="10"/>
        <rFont val="Times New Roman"/>
        <family val="1"/>
        <charset val="204"/>
      </rPr>
      <t xml:space="preserve">строительство </t>
    </r>
    <r>
      <rPr>
        <b/>
        <sz val="10"/>
        <rFont val="Times New Roman"/>
        <family val="1"/>
        <charset val="204"/>
      </rPr>
      <t xml:space="preserve">Kill </t>
    </r>
    <r>
      <rPr>
        <b/>
        <sz val="10"/>
        <rFont val="Times New Roman"/>
        <family val="1"/>
        <charset val="204"/>
      </rPr>
      <t>киоскового типа 630-10/0,4</t>
    </r>
  </si>
  <si>
    <r>
      <rPr>
        <b/>
        <sz val="10"/>
        <rFont val="Times New Roman"/>
        <family val="1"/>
        <charset val="204"/>
      </rPr>
      <t>строительство двухтрансформаторной КТП 250-10/0,4</t>
    </r>
  </si>
  <si>
    <r>
      <rPr>
        <b/>
        <sz val="10"/>
        <rFont val="Times New Roman"/>
        <family val="1"/>
        <charset val="204"/>
      </rPr>
      <t>строительство двухтрансформаторной КТП 400-10/0,4</t>
    </r>
  </si>
  <si>
    <r>
      <rPr>
        <b/>
        <sz val="10"/>
        <rFont val="Times New Roman"/>
        <family val="1"/>
        <charset val="204"/>
      </rPr>
      <t>строительство двухтрансформаторной КТП 630-10/0,4</t>
    </r>
  </si>
  <si>
    <r>
      <rPr>
        <b/>
        <sz val="10"/>
        <rFont val="Times New Roman"/>
        <family val="1"/>
        <charset val="204"/>
      </rPr>
      <t>строительство двухтрансформаторной КТП 1000-10/0,4</t>
    </r>
  </si>
  <si>
    <r>
      <rPr>
        <b/>
        <sz val="10"/>
        <rFont val="Times New Roman"/>
        <family val="1"/>
        <charset val="204"/>
      </rPr>
      <t>строительство пунктов секционирования (10 кВ, рекло-узер с 2-мя разъединителями)</t>
    </r>
  </si>
  <si>
    <r>
      <rPr>
        <b/>
        <sz val="10"/>
        <rFont val="Times New Roman"/>
        <family val="1"/>
        <charset val="204"/>
      </rPr>
      <t>строительство РП на 12 ячеек КВ-02МФ</t>
    </r>
  </si>
  <si>
    <r>
      <rPr>
        <b/>
        <sz val="10"/>
        <rFont val="Times New Roman"/>
        <family val="1"/>
        <charset val="204"/>
      </rPr>
      <t>строительство РП на 22 ячеек КВ-02МФ</t>
    </r>
  </si>
  <si>
    <r>
      <rPr>
        <b/>
        <sz val="10"/>
        <rFont val="Times New Roman"/>
        <family val="1"/>
        <charset val="204"/>
      </rPr>
      <t>строительство РТП-ЮкВ со встроенной ТП2х(630-1000 кВА)</t>
    </r>
  </si>
  <si>
    <r>
      <rPr>
        <b/>
        <sz val="10"/>
        <rFont val="Times New Roman"/>
        <family val="1"/>
        <charset val="204"/>
      </rPr>
      <t xml:space="preserve">строительство открытой однотрансформаторной ПС 35/0,4 кВ по схеме </t>
    </r>
    <r>
      <rPr>
        <b/>
        <sz val="10"/>
        <rFont val="Times New Roman"/>
        <family val="1"/>
        <charset val="204"/>
      </rPr>
      <t xml:space="preserve">35-3H </t>
    </r>
    <r>
      <rPr>
        <b/>
        <sz val="10"/>
        <rFont val="Times New Roman"/>
        <family val="1"/>
        <charset val="204"/>
      </rPr>
      <t>с трансформатором 630 кВА</t>
    </r>
  </si>
  <si>
    <r>
      <rPr>
        <b/>
        <sz val="10"/>
        <rFont val="Times New Roman"/>
        <family val="1"/>
        <charset val="204"/>
      </rPr>
      <t xml:space="preserve">строительство открытой однотрансформаторной ПС 35/0,4 кВ по схеме </t>
    </r>
    <r>
      <rPr>
        <b/>
        <sz val="10"/>
        <rFont val="Times New Roman"/>
        <family val="1"/>
        <charset val="204"/>
      </rPr>
      <t xml:space="preserve">35-3H </t>
    </r>
    <r>
      <rPr>
        <b/>
        <sz val="10"/>
        <rFont val="Times New Roman"/>
        <family val="1"/>
        <charset val="204"/>
      </rPr>
      <t>с трансформатором 1000 кВА</t>
    </r>
  </si>
  <si>
    <r>
      <rPr>
        <b/>
        <sz val="10"/>
        <rFont val="Times New Roman"/>
        <family val="1"/>
        <charset val="204"/>
      </rPr>
      <t xml:space="preserve">строительство открытой однотрансформаторной ПС 35/0,4 кВ по схеме </t>
    </r>
    <r>
      <rPr>
        <b/>
        <sz val="10"/>
        <rFont val="Times New Roman"/>
        <family val="1"/>
        <charset val="204"/>
      </rPr>
      <t xml:space="preserve">35-3H </t>
    </r>
    <r>
      <rPr>
        <b/>
        <sz val="10"/>
        <rFont val="Times New Roman"/>
        <family val="1"/>
        <charset val="204"/>
      </rPr>
      <t>с трансформатором 1600 кВА</t>
    </r>
  </si>
  <si>
    <r>
      <rPr>
        <b/>
        <sz val="10"/>
        <rFont val="Times New Roman"/>
        <family val="1"/>
        <charset val="204"/>
      </rPr>
      <t>строительство открытой двухтрансформаторной ПС 35/0,4 кВ по схеме 35-4Н с трансформаторами 2*630 кВА</t>
    </r>
  </si>
  <si>
    <r>
      <rPr>
        <b/>
        <sz val="10"/>
        <rFont val="Times New Roman"/>
        <family val="1"/>
        <charset val="204"/>
      </rPr>
      <t>строительство открытой двухтрансформаторной ПС 35/0,4 кВ по схеме 35-4Н с трансформаторами 2* 1000 кВА</t>
    </r>
  </si>
  <si>
    <r>
      <rPr>
        <b/>
        <sz val="10"/>
        <rFont val="Times New Roman"/>
        <family val="1"/>
        <charset val="204"/>
      </rPr>
      <t>строительство открытой двухтрансформаторной ПС 35/0,4 кВ по схеме 35-4Н с трансформаторами 2* 1600 кВА</t>
    </r>
  </si>
  <si>
    <t>строительство открытой двухтрансформаторной ПС 35/0,4 кВ по схеме 35-5Н с трансформаторами 2*630 кВА</t>
  </si>
  <si>
    <r>
      <rPr>
        <b/>
        <sz val="10"/>
        <rFont val="Times New Roman"/>
        <family val="1"/>
        <charset val="204"/>
      </rPr>
      <t>строительство открытой двухтрансформаторной ПС 35/0,4 кВ по схеме 35-5Н с трансформаторами 2* 1000 кВА</t>
    </r>
  </si>
  <si>
    <r>
      <rPr>
        <b/>
        <sz val="10"/>
        <rFont val="Times New Roman"/>
        <family val="1"/>
        <charset val="204"/>
      </rPr>
      <t>строительство открытой двухтрансформаторной ПС 35/0,4 кВ по схеме 35-5Н с трансформаторами 2* 1600 кВА</t>
    </r>
  </si>
  <si>
    <r>
      <rPr>
        <b/>
        <sz val="10"/>
        <rFont val="Times New Roman"/>
        <family val="1"/>
        <charset val="204"/>
      </rPr>
      <t xml:space="preserve">строительство открытой однотрансформаторной ПС 35/6-10 кВ по схеме </t>
    </r>
    <r>
      <rPr>
        <b/>
        <sz val="10"/>
        <rFont val="Times New Roman"/>
        <family val="1"/>
        <charset val="204"/>
      </rPr>
      <t xml:space="preserve">35-3H </t>
    </r>
    <r>
      <rPr>
        <b/>
        <sz val="10"/>
        <rFont val="Times New Roman"/>
        <family val="1"/>
        <charset val="204"/>
      </rPr>
      <t>с трансформатором 1000 кВА</t>
    </r>
  </si>
  <si>
    <r>
      <rPr>
        <b/>
        <sz val="10"/>
        <rFont val="Times New Roman"/>
        <family val="1"/>
        <charset val="204"/>
      </rPr>
      <t xml:space="preserve">строительство открытой однотрансформаторной ПС 35/6-10 кВ по схеме </t>
    </r>
    <r>
      <rPr>
        <b/>
        <sz val="10"/>
        <rFont val="Times New Roman"/>
        <family val="1"/>
        <charset val="204"/>
      </rPr>
      <t xml:space="preserve">35-3H </t>
    </r>
    <r>
      <rPr>
        <b/>
        <sz val="10"/>
        <rFont val="Times New Roman"/>
        <family val="1"/>
        <charset val="204"/>
      </rPr>
      <t>с трансформатором 1600 кВА</t>
    </r>
  </si>
  <si>
    <r>
      <rPr>
        <b/>
        <sz val="10"/>
        <rFont val="Times New Roman"/>
        <family val="1"/>
        <charset val="204"/>
      </rPr>
      <t xml:space="preserve">строительство открытой однотрансформаторной ПС 35/6-10 кВ по схеме </t>
    </r>
    <r>
      <rPr>
        <b/>
        <sz val="10"/>
        <rFont val="Times New Roman"/>
        <family val="1"/>
        <charset val="204"/>
      </rPr>
      <t xml:space="preserve">35-3H </t>
    </r>
    <r>
      <rPr>
        <b/>
        <sz val="10"/>
        <rFont val="Times New Roman"/>
        <family val="1"/>
        <charset val="204"/>
      </rPr>
      <t>с трансформатором 2500 кВА</t>
    </r>
  </si>
  <si>
    <r>
      <rPr>
        <b/>
        <sz val="10"/>
        <rFont val="Times New Roman"/>
        <family val="1"/>
        <charset val="204"/>
      </rPr>
      <t xml:space="preserve">строительство открытой однотрансформаторной ПС 35/6-10 кВ по схеме </t>
    </r>
    <r>
      <rPr>
        <b/>
        <sz val="10"/>
        <rFont val="Times New Roman"/>
        <family val="1"/>
        <charset val="204"/>
      </rPr>
      <t xml:space="preserve">35-3H </t>
    </r>
    <r>
      <rPr>
        <b/>
        <sz val="10"/>
        <rFont val="Times New Roman"/>
        <family val="1"/>
        <charset val="204"/>
      </rPr>
      <t>с трансформатором 4000 кВА</t>
    </r>
  </si>
  <si>
    <r>
      <rPr>
        <b/>
        <sz val="10"/>
        <rFont val="Times New Roman"/>
        <family val="1"/>
        <charset val="204"/>
      </rPr>
      <t xml:space="preserve">строительство открытой однотрансформаторной ПС 35/6-10 кВ по схеме </t>
    </r>
    <r>
      <rPr>
        <b/>
        <sz val="10"/>
        <rFont val="Times New Roman"/>
        <family val="1"/>
        <charset val="204"/>
      </rPr>
      <t xml:space="preserve">35-3H </t>
    </r>
    <r>
      <rPr>
        <b/>
        <sz val="10"/>
        <rFont val="Times New Roman"/>
        <family val="1"/>
        <charset val="204"/>
      </rPr>
      <t>с трансформатором 6300 кВА</t>
    </r>
  </si>
  <si>
    <r>
      <rPr>
        <b/>
        <sz val="10"/>
        <rFont val="Times New Roman"/>
        <family val="1"/>
        <charset val="204"/>
      </rPr>
      <t>строительство открытой двухтрансформаторной ПС 35/6-10 кВ по схеме 35-4Н с трансформаторами 2* 1000 кВА</t>
    </r>
  </si>
  <si>
    <r>
      <rPr>
        <b/>
        <sz val="10"/>
        <rFont val="Times New Roman"/>
        <family val="1"/>
        <charset val="204"/>
      </rPr>
      <t>строительство открытой двухтрансформаторной ПС 35/6-10 кВ по схеме 35-4Н с трансформаторами 2* 1600 КВА</t>
    </r>
  </si>
  <si>
    <r>
      <rPr>
        <b/>
        <sz val="10"/>
        <rFont val="Times New Roman"/>
        <family val="1"/>
        <charset val="204"/>
      </rPr>
      <t>строительство открытой двухтрансформаторной ПС 35/6-10 кВ по схеме 35-4Н с трансформаторами 2*2500 кВА</t>
    </r>
  </si>
  <si>
    <r>
      <rPr>
        <b/>
        <sz val="10"/>
        <rFont val="Times New Roman"/>
        <family val="1"/>
        <charset val="204"/>
      </rPr>
      <t>строительство открытой двухтрансформаторной ПС 35/6-10 кВ по схеме 35-4Н с трансформаторами 2*4000 кВА</t>
    </r>
  </si>
  <si>
    <r>
      <rPr>
        <b/>
        <sz val="10"/>
        <rFont val="Times New Roman"/>
        <family val="1"/>
        <charset val="204"/>
      </rPr>
      <t>строительство открытой двухтрансформаторной ПС 35/6-10 кВ по схеме 35-4Н с трансформаторами 2*6300 кВА</t>
    </r>
  </si>
  <si>
    <r>
      <rPr>
        <b/>
        <sz val="10"/>
        <rFont val="Times New Roman"/>
        <family val="1"/>
        <charset val="204"/>
      </rPr>
      <t>строительство открытой двухтрансформаторной ПС 35/6-10 кВ по схеме 35-5Н с трансформаторами 2* 1000 кВА</t>
    </r>
  </si>
  <si>
    <r>
      <rPr>
        <b/>
        <sz val="10"/>
        <rFont val="Times New Roman"/>
        <family val="1"/>
        <charset val="204"/>
      </rPr>
      <t>строительство открытой двухтрансформаторной ПС 35/6-10 кВ по схеме 35-5Н с трансформаторами 2* 1600 кВА</t>
    </r>
  </si>
  <si>
    <r>
      <rPr>
        <b/>
        <sz val="10"/>
        <rFont val="Times New Roman"/>
        <family val="1"/>
        <charset val="204"/>
      </rPr>
      <t>строительство открытой двухтрансформаторной ПС 35/6-10 кВ по схеме 35-5Н с трансформаторами 2*2500 кВА</t>
    </r>
  </si>
  <si>
    <r>
      <rPr>
        <b/>
        <sz val="10"/>
        <rFont val="Times New Roman"/>
        <family val="1"/>
        <charset val="204"/>
      </rPr>
      <t>строительство открытой двухтрансформаторной ПС 35/6-10 кВ по схеме 35-5Н с трансформаторами 2*4000 кВА</t>
    </r>
  </si>
  <si>
    <r>
      <rPr>
        <b/>
        <sz val="10"/>
        <rFont val="Times New Roman"/>
        <family val="1"/>
        <charset val="204"/>
      </rPr>
      <t>строительство открытой двухтрансформаторной ПС 35/6-10 кВ по схеме 35-5Н с трансформаторами 2*6300 кВА</t>
    </r>
  </si>
  <si>
    <r>
      <rPr>
        <b/>
        <sz val="10"/>
        <rFont val="Times New Roman"/>
        <family val="1"/>
        <charset val="204"/>
      </rPr>
      <t>строительство открытой однотрансформаторной ПС 35/6-10 кВ по схеме 35-9 с трансформатором 1000 кВА</t>
    </r>
  </si>
  <si>
    <r>
      <rPr>
        <b/>
        <sz val="10"/>
        <rFont val="Times New Roman"/>
        <family val="1"/>
        <charset val="204"/>
      </rPr>
      <t>строительство открытой однотрансформаторной ПС 35/6-10 кВ по схеме 35-9 с трансформатором 1600 кВА</t>
    </r>
  </si>
  <si>
    <r>
      <rPr>
        <b/>
        <sz val="10"/>
        <rFont val="Times New Roman"/>
        <family val="1"/>
        <charset val="204"/>
      </rPr>
      <t>строительство открытой однотрансформаторной ПС 35/6-10 кВ по схеме 35-9 с трансформатором 2500 кВА</t>
    </r>
  </si>
  <si>
    <r>
      <rPr>
        <b/>
        <sz val="10"/>
        <rFont val="Times New Roman"/>
        <family val="1"/>
        <charset val="204"/>
      </rPr>
      <t>строительство открытой однотрансформаторной ПС 35/6-10 кВ по схеме 35-9 с трансформатором 4000 кВА</t>
    </r>
  </si>
  <si>
    <r>
      <rPr>
        <b/>
        <sz val="10"/>
        <rFont val="Times New Roman"/>
        <family val="1"/>
        <charset val="204"/>
      </rPr>
      <t>строительство открытой однотрансформаторной ПС 35/6-10 кВ по схеме 35-9 с трансформатором 6300 кВА</t>
    </r>
  </si>
  <si>
    <r>
      <rPr>
        <b/>
        <sz val="10"/>
        <rFont val="Times New Roman"/>
        <family val="1"/>
        <charset val="204"/>
      </rPr>
      <t>строительство открытой однотрансформаторной ПС 110/6-10 кВ по схеме 110-ЗН с трансформатором 6300 кВА</t>
    </r>
  </si>
  <si>
    <r>
      <rPr>
        <b/>
        <sz val="10"/>
        <rFont val="Times New Roman"/>
        <family val="1"/>
        <charset val="204"/>
      </rPr>
      <t>строительство открытой однотрансформаторной ПС 110/6-10 кВ по схеме 110-ЗН с трансформатором 10000 кВА</t>
    </r>
  </si>
  <si>
    <r>
      <rPr>
        <b/>
        <sz val="10"/>
        <rFont val="Times New Roman"/>
        <family val="1"/>
        <charset val="204"/>
      </rPr>
      <t>строительство открытой двухтрансформаторной ПС 110/6-10 кВ по схеме 110-4Н с трансформаторами 2*6300 кВА</t>
    </r>
  </si>
  <si>
    <r>
      <rPr>
        <b/>
        <sz val="10"/>
        <rFont val="Times New Roman"/>
        <family val="1"/>
        <charset val="204"/>
      </rPr>
      <t>строительство открытой двухтрансформаторной ПС 110/6-10 кВ по схеме 110-4Н с трансформаторами 2*10000 кВА</t>
    </r>
  </si>
  <si>
    <r>
      <rPr>
        <b/>
        <sz val="10"/>
        <rFont val="Times New Roman"/>
        <family val="1"/>
        <charset val="204"/>
      </rPr>
      <t>строительство открытой двухтрансформаторной ПС 110/6-10 кВ по схеме 110-5Н с трансформаторами 2*6300 кВА</t>
    </r>
  </si>
  <si>
    <r>
      <rPr>
        <b/>
        <sz val="10"/>
        <rFont val="Times New Roman"/>
        <family val="1"/>
        <charset val="204"/>
      </rPr>
      <t>строительство открытой двухтрансформаторной ПС 110/6-10 кВ по схеме 110-5Н с трансформаторами 2*10000 кВА</t>
    </r>
  </si>
  <si>
    <r>
      <rPr>
        <b/>
        <sz val="10"/>
        <rFont val="Times New Roman"/>
        <family val="1"/>
        <charset val="204"/>
      </rPr>
      <t>строительство открытой двухтрансформаторной ПС 110/6-10 кВ по схеме 110-9 с трансформаторами 2*6300 кВА</t>
    </r>
  </si>
  <si>
    <r>
      <rPr>
        <b/>
        <sz val="10"/>
        <rFont val="Times New Roman"/>
        <family val="1"/>
        <charset val="204"/>
      </rPr>
      <t>строительство открытой двухтрансформаторной ПС 110/6-10 кВ по схеме 110-9 с трансформаторами 2*10000 кВА</t>
    </r>
  </si>
  <si>
    <r>
      <rPr>
        <b/>
        <sz val="10"/>
        <rFont val="Times New Roman"/>
        <family val="1"/>
        <charset val="204"/>
      </rPr>
      <t>199 340,0</t>
    </r>
  </si>
  <si>
    <r>
      <rPr>
        <b/>
        <sz val="10"/>
        <rFont val="Times New Roman"/>
        <family val="1"/>
        <charset val="204"/>
      </rPr>
      <t>99 670,00</t>
    </r>
  </si>
  <si>
    <r>
      <rPr>
        <b/>
        <sz val="10"/>
        <rFont val="Times New Roman"/>
        <family val="1"/>
        <charset val="204"/>
      </rPr>
      <t>224 310,0</t>
    </r>
  </si>
  <si>
    <r>
      <rPr>
        <b/>
        <sz val="10"/>
        <rFont val="Times New Roman"/>
        <family val="1"/>
        <charset val="204"/>
      </rPr>
      <t>112 155,00</t>
    </r>
  </si>
  <si>
    <r>
      <rPr>
        <b/>
        <sz val="10"/>
        <rFont val="Times New Roman"/>
        <family val="1"/>
        <charset val="204"/>
      </rPr>
      <t>237 560,0</t>
    </r>
  </si>
  <si>
    <r>
      <rPr>
        <b/>
        <sz val="10"/>
        <rFont val="Times New Roman"/>
        <family val="1"/>
        <charset val="204"/>
      </rPr>
      <t>118 780,00</t>
    </r>
  </si>
  <si>
    <r>
      <rPr>
        <b/>
        <sz val="10"/>
        <rFont val="Times New Roman"/>
        <family val="1"/>
        <charset val="204"/>
      </rPr>
      <t>247 920,0</t>
    </r>
  </si>
  <si>
    <r>
      <rPr>
        <b/>
        <sz val="10"/>
        <rFont val="Times New Roman"/>
        <family val="1"/>
        <charset val="204"/>
      </rPr>
      <t>123 960,00</t>
    </r>
  </si>
  <si>
    <r>
      <rPr>
        <b/>
        <sz val="10"/>
        <rFont val="Times New Roman"/>
        <family val="1"/>
        <charset val="204"/>
      </rPr>
      <t>262 170,0</t>
    </r>
  </si>
  <si>
    <r>
      <rPr>
        <b/>
        <sz val="10"/>
        <rFont val="Times New Roman"/>
        <family val="1"/>
        <charset val="204"/>
      </rPr>
      <t>131 085,00</t>
    </r>
  </si>
  <si>
    <r>
      <rPr>
        <b/>
        <sz val="10"/>
        <rFont val="Times New Roman"/>
        <family val="1"/>
        <charset val="204"/>
      </rPr>
      <t>274 063,13</t>
    </r>
  </si>
  <si>
    <r>
      <rPr>
        <b/>
        <sz val="10"/>
        <rFont val="Times New Roman"/>
        <family val="1"/>
        <charset val="204"/>
      </rPr>
      <t>137 031,57</t>
    </r>
  </si>
  <si>
    <r>
      <rPr>
        <b/>
        <sz val="10"/>
        <rFont val="Times New Roman"/>
        <family val="1"/>
        <charset val="204"/>
      </rPr>
      <t>309 500,0</t>
    </r>
  </si>
  <si>
    <r>
      <rPr>
        <b/>
        <sz val="10"/>
        <rFont val="Times New Roman"/>
        <family val="1"/>
        <charset val="204"/>
      </rPr>
      <t>154 750,00</t>
    </r>
  </si>
  <si>
    <r>
      <rPr>
        <b/>
        <sz val="10"/>
        <rFont val="Times New Roman"/>
        <family val="1"/>
        <charset val="204"/>
      </rPr>
      <t>188 710,0</t>
    </r>
  </si>
  <si>
    <r>
      <rPr>
        <b/>
        <sz val="10"/>
        <rFont val="Times New Roman"/>
        <family val="1"/>
        <charset val="204"/>
      </rPr>
      <t>94 355,00</t>
    </r>
  </si>
  <si>
    <r>
      <rPr>
        <b/>
        <sz val="10"/>
        <rFont val="Times New Roman"/>
        <family val="1"/>
        <charset val="204"/>
      </rPr>
      <t>205 910,0</t>
    </r>
  </si>
  <si>
    <r>
      <rPr>
        <b/>
        <sz val="10"/>
        <rFont val="Times New Roman"/>
        <family val="1"/>
        <charset val="204"/>
      </rPr>
      <t>102 955,00</t>
    </r>
  </si>
  <si>
    <r>
      <rPr>
        <b/>
        <sz val="10"/>
        <rFont val="Times New Roman"/>
        <family val="1"/>
        <charset val="204"/>
      </rPr>
      <t>218 870,0</t>
    </r>
  </si>
  <si>
    <r>
      <rPr>
        <b/>
        <sz val="10"/>
        <rFont val="Times New Roman"/>
        <family val="1"/>
        <charset val="204"/>
      </rPr>
      <t>109 435,00</t>
    </r>
  </si>
  <si>
    <r>
      <rPr>
        <b/>
        <sz val="10"/>
        <rFont val="Times New Roman"/>
        <family val="1"/>
        <charset val="204"/>
      </rPr>
      <t>228 300,0</t>
    </r>
  </si>
  <si>
    <r>
      <rPr>
        <b/>
        <sz val="10"/>
        <rFont val="Times New Roman"/>
        <family val="1"/>
        <charset val="204"/>
      </rPr>
      <t>114 150,00</t>
    </r>
  </si>
  <si>
    <r>
      <rPr>
        <b/>
        <sz val="10"/>
        <rFont val="Times New Roman"/>
        <family val="1"/>
        <charset val="204"/>
      </rPr>
      <t>240 550,0</t>
    </r>
  </si>
  <si>
    <r>
      <rPr>
        <b/>
        <sz val="10"/>
        <rFont val="Times New Roman"/>
        <family val="1"/>
        <charset val="204"/>
      </rPr>
      <t>120 275,00</t>
    </r>
  </si>
  <si>
    <r>
      <rPr>
        <b/>
        <sz val="10"/>
        <rFont val="Times New Roman"/>
        <family val="1"/>
        <charset val="204"/>
      </rPr>
      <t>252 810,0</t>
    </r>
  </si>
  <si>
    <r>
      <rPr>
        <b/>
        <sz val="10"/>
        <rFont val="Times New Roman"/>
        <family val="1"/>
        <charset val="204"/>
      </rPr>
      <t>126 405,00</t>
    </r>
  </si>
  <si>
    <r>
      <rPr>
        <b/>
        <sz val="10"/>
        <rFont val="Times New Roman"/>
        <family val="1"/>
        <charset val="204"/>
      </rPr>
      <t>206 252,8</t>
    </r>
  </si>
  <si>
    <r>
      <rPr>
        <b/>
        <sz val="10"/>
        <rFont val="Times New Roman"/>
        <family val="1"/>
        <charset val="204"/>
      </rPr>
      <t>103 126,41</t>
    </r>
  </si>
  <si>
    <r>
      <rPr>
        <b/>
        <sz val="10"/>
        <rFont val="Times New Roman"/>
        <family val="1"/>
        <charset val="204"/>
      </rPr>
      <t>171 047,47</t>
    </r>
  </si>
  <si>
    <r>
      <rPr>
        <b/>
        <sz val="10"/>
        <rFont val="Times New Roman"/>
        <family val="1"/>
        <charset val="204"/>
      </rPr>
      <t>85 523,74</t>
    </r>
  </si>
  <si>
    <r>
      <rPr>
        <b/>
        <sz val="10"/>
        <rFont val="Times New Roman"/>
        <family val="1"/>
        <charset val="204"/>
      </rPr>
      <t>181 540,00</t>
    </r>
  </si>
  <si>
    <r>
      <rPr>
        <b/>
        <sz val="10"/>
        <rFont val="Times New Roman"/>
        <family val="1"/>
        <charset val="204"/>
      </rPr>
      <t>90 770,00</t>
    </r>
  </si>
  <si>
    <r>
      <rPr>
        <b/>
        <sz val="10"/>
        <rFont val="Times New Roman"/>
        <family val="1"/>
        <charset val="204"/>
      </rPr>
      <t>237 033,57</t>
    </r>
  </si>
  <si>
    <r>
      <rPr>
        <b/>
        <sz val="10"/>
        <rFont val="Times New Roman"/>
        <family val="1"/>
        <charset val="204"/>
      </rPr>
      <t>118 516,79</t>
    </r>
  </si>
  <si>
    <r>
      <rPr>
        <b/>
        <sz val="10"/>
        <rFont val="Times New Roman"/>
        <family val="1"/>
        <charset val="204"/>
      </rPr>
      <t>250 372,03</t>
    </r>
  </si>
  <si>
    <r>
      <rPr>
        <b/>
        <sz val="10"/>
        <rFont val="Times New Roman"/>
        <family val="1"/>
        <charset val="204"/>
      </rPr>
      <t>125 186,02</t>
    </r>
  </si>
  <si>
    <r>
      <rPr>
        <b/>
        <sz val="10"/>
        <rFont val="Times New Roman"/>
        <family val="1"/>
        <charset val="204"/>
      </rPr>
      <t>457 431,58</t>
    </r>
  </si>
  <si>
    <r>
      <rPr>
        <b/>
        <sz val="10"/>
        <rFont val="Times New Roman"/>
        <family val="1"/>
        <charset val="204"/>
      </rPr>
      <t>228 715,79</t>
    </r>
  </si>
  <si>
    <r>
      <rPr>
        <b/>
        <sz val="10"/>
        <rFont val="Times New Roman"/>
        <family val="1"/>
        <charset val="204"/>
      </rPr>
      <t>479 587,89</t>
    </r>
  </si>
  <si>
    <r>
      <rPr>
        <b/>
        <sz val="10"/>
        <rFont val="Times New Roman"/>
        <family val="1"/>
        <charset val="204"/>
      </rPr>
      <t>239 793,95</t>
    </r>
  </si>
  <si>
    <r>
      <rPr>
        <b/>
        <sz val="10"/>
        <rFont val="Times New Roman"/>
        <family val="1"/>
        <charset val="204"/>
      </rPr>
      <t>499 285,50</t>
    </r>
  </si>
  <si>
    <r>
      <rPr>
        <b/>
        <sz val="10"/>
        <rFont val="Times New Roman"/>
        <family val="1"/>
        <charset val="204"/>
      </rPr>
      <t>249 642,75</t>
    </r>
  </si>
  <si>
    <r>
      <rPr>
        <b/>
        <sz val="10"/>
        <rFont val="Times New Roman"/>
        <family val="1"/>
        <charset val="204"/>
      </rPr>
      <t>302 640,00</t>
    </r>
  </si>
  <si>
    <r>
      <rPr>
        <b/>
        <sz val="10"/>
        <rFont val="Times New Roman"/>
        <family val="1"/>
        <charset val="204"/>
      </rPr>
      <t>151 320,00</t>
    </r>
  </si>
  <si>
    <r>
      <rPr>
        <b/>
        <sz val="10"/>
        <rFont val="Times New Roman"/>
        <family val="1"/>
        <charset val="204"/>
      </rPr>
      <t>446 430,00</t>
    </r>
  </si>
  <si>
    <r>
      <rPr>
        <b/>
        <sz val="10"/>
        <rFont val="Times New Roman"/>
        <family val="1"/>
        <charset val="204"/>
      </rPr>
      <t>223 215,00</t>
    </r>
  </si>
  <si>
    <r>
      <rPr>
        <b/>
        <sz val="10"/>
        <rFont val="Times New Roman"/>
        <family val="1"/>
        <charset val="204"/>
      </rPr>
      <t>550 370,00</t>
    </r>
  </si>
  <si>
    <r>
      <rPr>
        <b/>
        <sz val="10"/>
        <rFont val="Times New Roman"/>
        <family val="1"/>
        <charset val="204"/>
      </rPr>
      <t>275 185,00</t>
    </r>
  </si>
  <si>
    <r>
      <rPr>
        <b/>
        <sz val="10"/>
        <rFont val="Times New Roman"/>
        <family val="1"/>
        <charset val="204"/>
      </rPr>
      <t>467 590,00</t>
    </r>
  </si>
  <si>
    <r>
      <rPr>
        <b/>
        <sz val="10"/>
        <rFont val="Times New Roman"/>
        <family val="1"/>
        <charset val="204"/>
      </rPr>
      <t>233 795,00</t>
    </r>
  </si>
  <si>
    <r>
      <rPr>
        <b/>
        <sz val="10"/>
        <rFont val="Times New Roman"/>
        <family val="1"/>
        <charset val="204"/>
      </rPr>
      <t>619 820,00</t>
    </r>
  </si>
  <si>
    <r>
      <rPr>
        <b/>
        <sz val="10"/>
        <rFont val="Times New Roman"/>
        <family val="1"/>
        <charset val="204"/>
      </rPr>
      <t>309 910,00</t>
    </r>
  </si>
  <si>
    <r>
      <rPr>
        <b/>
        <sz val="10"/>
        <rFont val="Times New Roman"/>
        <family val="1"/>
        <charset val="204"/>
      </rPr>
      <t>779 940,00</t>
    </r>
  </si>
  <si>
    <r>
      <rPr>
        <b/>
        <sz val="10"/>
        <rFont val="Times New Roman"/>
        <family val="1"/>
        <charset val="204"/>
      </rPr>
      <t>389 970,00</t>
    </r>
  </si>
  <si>
    <r>
      <rPr>
        <b/>
        <sz val="10"/>
        <rFont val="Times New Roman"/>
        <family val="1"/>
        <charset val="204"/>
      </rPr>
      <t>619 240,00</t>
    </r>
  </si>
  <si>
    <r>
      <rPr>
        <b/>
        <sz val="10"/>
        <rFont val="Times New Roman"/>
        <family val="1"/>
        <charset val="204"/>
      </rPr>
      <t>309 620,00</t>
    </r>
  </si>
  <si>
    <r>
      <rPr>
        <b/>
        <sz val="10"/>
        <rFont val="Times New Roman"/>
        <family val="1"/>
        <charset val="204"/>
      </rPr>
      <t>817 420,00</t>
    </r>
  </si>
  <si>
    <r>
      <rPr>
        <b/>
        <sz val="10"/>
        <rFont val="Times New Roman"/>
        <family val="1"/>
        <charset val="204"/>
      </rPr>
      <t>408 710,00</t>
    </r>
  </si>
  <si>
    <r>
      <rPr>
        <b/>
        <sz val="10"/>
        <rFont val="Times New Roman"/>
        <family val="1"/>
        <charset val="204"/>
      </rPr>
      <t>817 740,00</t>
    </r>
  </si>
  <si>
    <r>
      <rPr>
        <b/>
        <sz val="10"/>
        <rFont val="Times New Roman"/>
        <family val="1"/>
        <charset val="204"/>
      </rPr>
      <t>408 870,00</t>
    </r>
  </si>
  <si>
    <r>
      <rPr>
        <b/>
        <sz val="10"/>
        <rFont val="Times New Roman"/>
        <family val="1"/>
        <charset val="204"/>
      </rPr>
      <t>178 000,0</t>
    </r>
  </si>
  <si>
    <r>
      <rPr>
        <b/>
        <sz val="10"/>
        <rFont val="Times New Roman"/>
        <family val="1"/>
        <charset val="204"/>
      </rPr>
      <t>89 000,00</t>
    </r>
  </si>
  <si>
    <r>
      <rPr>
        <b/>
        <sz val="10"/>
        <rFont val="Times New Roman"/>
        <family val="1"/>
        <charset val="204"/>
      </rPr>
      <t>277 960,0</t>
    </r>
  </si>
  <si>
    <r>
      <rPr>
        <b/>
        <sz val="10"/>
        <rFont val="Times New Roman"/>
        <family val="1"/>
        <charset val="204"/>
      </rPr>
      <t>138 980,00</t>
    </r>
  </si>
  <si>
    <r>
      <rPr>
        <b/>
        <sz val="10"/>
        <rFont val="Times New Roman"/>
        <family val="1"/>
        <charset val="204"/>
      </rPr>
      <t>323 230,00</t>
    </r>
  </si>
  <si>
    <r>
      <rPr>
        <b/>
        <sz val="10"/>
        <rFont val="Times New Roman"/>
        <family val="1"/>
        <charset val="204"/>
      </rPr>
      <t>161 615,00</t>
    </r>
  </si>
  <si>
    <r>
      <rPr>
        <b/>
        <sz val="10"/>
        <rFont val="Times New Roman"/>
        <family val="1"/>
        <charset val="204"/>
      </rPr>
      <t>565 303,23</t>
    </r>
  </si>
  <si>
    <r>
      <rPr>
        <b/>
        <sz val="10"/>
        <rFont val="Times New Roman"/>
        <family val="1"/>
        <charset val="204"/>
      </rPr>
      <t>282 651,62</t>
    </r>
  </si>
  <si>
    <r>
      <rPr>
        <b/>
        <sz val="10"/>
        <rFont val="Times New Roman"/>
        <family val="1"/>
        <charset val="204"/>
      </rPr>
      <t>377 840,00</t>
    </r>
  </si>
  <si>
    <r>
      <rPr>
        <b/>
        <sz val="10"/>
        <rFont val="Times New Roman"/>
        <family val="1"/>
        <charset val="204"/>
      </rPr>
      <t>188 920,00</t>
    </r>
  </si>
  <si>
    <r>
      <rPr>
        <b/>
        <sz val="10"/>
        <rFont val="Times New Roman"/>
        <family val="1"/>
        <charset val="204"/>
      </rPr>
      <t>601 113,98</t>
    </r>
  </si>
  <si>
    <r>
      <rPr>
        <b/>
        <sz val="10"/>
        <rFont val="Times New Roman"/>
        <family val="1"/>
        <charset val="204"/>
      </rPr>
      <t>300 556,99</t>
    </r>
  </si>
  <si>
    <r>
      <rPr>
        <b/>
        <sz val="10"/>
        <rFont val="Times New Roman"/>
        <family val="1"/>
        <charset val="204"/>
      </rPr>
      <t>403 790,00</t>
    </r>
  </si>
  <si>
    <r>
      <rPr>
        <b/>
        <sz val="10"/>
        <rFont val="Times New Roman"/>
        <family val="1"/>
        <charset val="204"/>
      </rPr>
      <t>201 895,00</t>
    </r>
  </si>
  <si>
    <r>
      <rPr>
        <b/>
        <sz val="10"/>
        <rFont val="Times New Roman"/>
        <family val="1"/>
        <charset val="204"/>
      </rPr>
      <t>656 617,20</t>
    </r>
  </si>
  <si>
    <r>
      <rPr>
        <b/>
        <sz val="10"/>
        <rFont val="Times New Roman"/>
        <family val="1"/>
        <charset val="204"/>
      </rPr>
      <t>328 308,60</t>
    </r>
  </si>
  <si>
    <r>
      <rPr>
        <b/>
        <sz val="10"/>
        <rFont val="Times New Roman"/>
        <family val="1"/>
        <charset val="204"/>
      </rPr>
      <t>438 750,00</t>
    </r>
  </si>
  <si>
    <r>
      <rPr>
        <b/>
        <sz val="10"/>
        <rFont val="Times New Roman"/>
        <family val="1"/>
        <charset val="204"/>
      </rPr>
      <t>219 375,00</t>
    </r>
  </si>
  <si>
    <r>
      <rPr>
        <b/>
        <sz val="10"/>
        <rFont val="Times New Roman"/>
        <family val="1"/>
        <charset val="204"/>
      </rPr>
      <t>707 913,98</t>
    </r>
  </si>
  <si>
    <r>
      <rPr>
        <b/>
        <sz val="10"/>
        <rFont val="Times New Roman"/>
        <family val="1"/>
        <charset val="204"/>
      </rPr>
      <t>353 956,99</t>
    </r>
  </si>
  <si>
    <r>
      <rPr>
        <b/>
        <sz val="10"/>
        <rFont val="Times New Roman"/>
        <family val="1"/>
        <charset val="204"/>
      </rPr>
      <t>501 069,03</t>
    </r>
  </si>
  <si>
    <r>
      <rPr>
        <b/>
        <sz val="10"/>
        <rFont val="Times New Roman"/>
        <family val="1"/>
        <charset val="204"/>
      </rPr>
      <t>250 534,52</t>
    </r>
  </si>
  <si>
    <r>
      <rPr>
        <b/>
        <sz val="10"/>
        <rFont val="Times New Roman"/>
        <family val="1"/>
        <charset val="204"/>
      </rPr>
      <t>576 591,61</t>
    </r>
  </si>
  <si>
    <r>
      <rPr>
        <b/>
        <sz val="10"/>
        <rFont val="Times New Roman"/>
        <family val="1"/>
        <charset val="204"/>
      </rPr>
      <t>288 295,81</t>
    </r>
  </si>
  <si>
    <r>
      <rPr>
        <b/>
        <sz val="10"/>
        <rFont val="Times New Roman"/>
        <family val="1"/>
        <charset val="204"/>
      </rPr>
      <t>649 378,49</t>
    </r>
  </si>
  <si>
    <r>
      <rPr>
        <b/>
        <sz val="10"/>
        <rFont val="Times New Roman"/>
        <family val="1"/>
        <charset val="204"/>
      </rPr>
      <t>324 689,25</t>
    </r>
  </si>
  <si>
    <r>
      <rPr>
        <b/>
        <sz val="10"/>
        <rFont val="Times New Roman"/>
        <family val="1"/>
        <charset val="204"/>
      </rPr>
      <t>695 751,18</t>
    </r>
  </si>
  <si>
    <r>
      <rPr>
        <b/>
        <sz val="10"/>
        <rFont val="Times New Roman"/>
        <family val="1"/>
        <charset val="204"/>
      </rPr>
      <t>347 875,59</t>
    </r>
  </si>
  <si>
    <r>
      <rPr>
        <b/>
        <sz val="10"/>
        <rFont val="Times New Roman"/>
        <family val="1"/>
        <charset val="204"/>
      </rPr>
      <t>404 640,00</t>
    </r>
  </si>
  <si>
    <r>
      <rPr>
        <b/>
        <sz val="10"/>
        <rFont val="Times New Roman"/>
        <family val="1"/>
        <charset val="204"/>
      </rPr>
      <t>202 320,00</t>
    </r>
  </si>
  <si>
    <r>
      <rPr>
        <b/>
        <sz val="10"/>
        <rFont val="Times New Roman"/>
        <family val="1"/>
        <charset val="204"/>
      </rPr>
      <t>580 832,26</t>
    </r>
  </si>
  <si>
    <r>
      <rPr>
        <b/>
        <sz val="10"/>
        <rFont val="Times New Roman"/>
        <family val="1"/>
        <charset val="204"/>
      </rPr>
      <t>290 416,13</t>
    </r>
  </si>
  <si>
    <r>
      <rPr>
        <b/>
        <sz val="10"/>
        <rFont val="Times New Roman"/>
        <family val="1"/>
        <charset val="204"/>
      </rPr>
      <t>457 380,00</t>
    </r>
  </si>
  <si>
    <r>
      <rPr>
        <b/>
        <sz val="10"/>
        <rFont val="Times New Roman"/>
        <family val="1"/>
        <charset val="204"/>
      </rPr>
      <t>228 690,00</t>
    </r>
  </si>
  <si>
    <r>
      <rPr>
        <b/>
        <sz val="10"/>
        <rFont val="Times New Roman"/>
        <family val="1"/>
        <charset val="204"/>
      </rPr>
      <t>638 462,37</t>
    </r>
  </si>
  <si>
    <r>
      <rPr>
        <b/>
        <sz val="10"/>
        <rFont val="Times New Roman"/>
        <family val="1"/>
        <charset val="204"/>
      </rPr>
      <t>319231,19</t>
    </r>
  </si>
  <si>
    <r>
      <rPr>
        <b/>
        <sz val="10"/>
        <rFont val="Times New Roman"/>
        <family val="1"/>
        <charset val="204"/>
      </rPr>
      <t>513 210,00</t>
    </r>
  </si>
  <si>
    <r>
      <rPr>
        <b/>
        <sz val="10"/>
        <rFont val="Times New Roman"/>
        <family val="1"/>
        <charset val="204"/>
      </rPr>
      <t>256 605,00</t>
    </r>
  </si>
  <si>
    <r>
      <rPr>
        <b/>
        <sz val="10"/>
        <rFont val="Times New Roman"/>
        <family val="1"/>
        <charset val="204"/>
      </rPr>
      <t>694 795,70</t>
    </r>
  </si>
  <si>
    <r>
      <rPr>
        <b/>
        <sz val="10"/>
        <rFont val="Times New Roman"/>
        <family val="1"/>
        <charset val="204"/>
      </rPr>
      <t>347 397,85</t>
    </r>
  </si>
  <si>
    <r>
      <rPr>
        <b/>
        <sz val="10"/>
        <rFont val="Times New Roman"/>
        <family val="1"/>
        <charset val="204"/>
      </rPr>
      <t>585 460,00</t>
    </r>
  </si>
  <si>
    <r>
      <rPr>
        <b/>
        <sz val="10"/>
        <rFont val="Times New Roman"/>
        <family val="1"/>
        <charset val="204"/>
      </rPr>
      <t>292 730,00</t>
    </r>
  </si>
  <si>
    <r>
      <rPr>
        <b/>
        <sz val="10"/>
        <rFont val="Times New Roman"/>
        <family val="1"/>
        <charset val="204"/>
      </rPr>
      <t>752 982,80</t>
    </r>
  </si>
  <si>
    <r>
      <rPr>
        <b/>
        <sz val="10"/>
        <rFont val="Times New Roman"/>
        <family val="1"/>
        <charset val="204"/>
      </rPr>
      <t>376 491,40</t>
    </r>
  </si>
  <si>
    <r>
      <rPr>
        <b/>
        <sz val="10"/>
        <rFont val="Times New Roman"/>
        <family val="1"/>
        <charset val="204"/>
      </rPr>
      <t>182 894,61</t>
    </r>
  </si>
  <si>
    <r>
      <rPr>
        <b/>
        <sz val="10"/>
        <rFont val="Times New Roman"/>
        <family val="1"/>
        <charset val="204"/>
      </rPr>
      <t>91 447,31</t>
    </r>
  </si>
  <si>
    <r>
      <rPr>
        <b/>
        <sz val="10"/>
        <rFont val="Times New Roman"/>
        <family val="1"/>
        <charset val="204"/>
      </rPr>
      <t>564727,52</t>
    </r>
  </si>
  <si>
    <r>
      <rPr>
        <b/>
        <sz val="10"/>
        <rFont val="Times New Roman"/>
        <family val="1"/>
        <charset val="204"/>
      </rPr>
      <t>282 363,76</t>
    </r>
  </si>
  <si>
    <r>
      <rPr>
        <b/>
        <sz val="10"/>
        <rFont val="Times New Roman"/>
        <family val="1"/>
        <charset val="204"/>
      </rPr>
      <t>637 132,26</t>
    </r>
  </si>
  <si>
    <r>
      <rPr>
        <b/>
        <sz val="10"/>
        <rFont val="Times New Roman"/>
        <family val="1"/>
        <charset val="204"/>
      </rPr>
      <t>318 566,13</t>
    </r>
  </si>
  <si>
    <r>
      <rPr>
        <b/>
        <sz val="10"/>
        <rFont val="Times New Roman"/>
        <family val="1"/>
        <charset val="204"/>
      </rPr>
      <t>624 202,37</t>
    </r>
  </si>
  <si>
    <r>
      <rPr>
        <b/>
        <sz val="10"/>
        <rFont val="Times New Roman"/>
        <family val="1"/>
        <charset val="204"/>
      </rPr>
      <t>312 101,19</t>
    </r>
  </si>
  <si>
    <r>
      <rPr>
        <b/>
        <sz val="10"/>
        <rFont val="Times New Roman"/>
        <family val="1"/>
        <charset val="204"/>
      </rPr>
      <t>727 972,47</t>
    </r>
  </si>
  <si>
    <r>
      <rPr>
        <b/>
        <sz val="10"/>
        <rFont val="Times New Roman"/>
        <family val="1"/>
        <charset val="204"/>
      </rPr>
      <t>363 986,24</t>
    </r>
  </si>
  <si>
    <r>
      <rPr>
        <b/>
        <sz val="10"/>
        <rFont val="Times New Roman"/>
        <family val="1"/>
        <charset val="204"/>
      </rPr>
      <t>823 567,53</t>
    </r>
  </si>
  <si>
    <r>
      <rPr>
        <b/>
        <sz val="10"/>
        <rFont val="Times New Roman"/>
        <family val="1"/>
        <charset val="204"/>
      </rPr>
      <t>411 783,77</t>
    </r>
  </si>
  <si>
    <r>
      <rPr>
        <b/>
        <sz val="10"/>
        <rFont val="Times New Roman"/>
        <family val="1"/>
        <charset val="204"/>
      </rPr>
      <t>933 243,00</t>
    </r>
  </si>
  <si>
    <r>
      <rPr>
        <b/>
        <sz val="10"/>
        <rFont val="Times New Roman"/>
        <family val="1"/>
        <charset val="204"/>
      </rPr>
      <t>466 621,50</t>
    </r>
  </si>
  <si>
    <r>
      <rPr>
        <b/>
        <sz val="10"/>
        <rFont val="Times New Roman"/>
        <family val="1"/>
        <charset val="204"/>
      </rPr>
      <t>710 774,41</t>
    </r>
  </si>
  <si>
    <r>
      <rPr>
        <b/>
        <sz val="10"/>
        <rFont val="Times New Roman"/>
        <family val="1"/>
        <charset val="204"/>
      </rPr>
      <t>355 387,21</t>
    </r>
  </si>
  <si>
    <r>
      <rPr>
        <b/>
        <sz val="10"/>
        <rFont val="Times New Roman"/>
        <family val="1"/>
        <charset val="204"/>
      </rPr>
      <t>782 514,84</t>
    </r>
  </si>
  <si>
    <r>
      <rPr>
        <b/>
        <sz val="10"/>
        <rFont val="Times New Roman"/>
        <family val="1"/>
        <charset val="204"/>
      </rPr>
      <t>391 257,42</t>
    </r>
  </si>
  <si>
    <r>
      <rPr>
        <b/>
        <sz val="10"/>
        <rFont val="Times New Roman"/>
        <family val="1"/>
        <charset val="204"/>
      </rPr>
      <t>867 614,19</t>
    </r>
  </si>
  <si>
    <r>
      <rPr>
        <b/>
        <sz val="10"/>
        <rFont val="Times New Roman"/>
        <family val="1"/>
        <charset val="204"/>
      </rPr>
      <t>433 807,10</t>
    </r>
  </si>
  <si>
    <r>
      <rPr>
        <b/>
        <sz val="10"/>
        <rFont val="Times New Roman"/>
        <family val="1"/>
        <charset val="204"/>
      </rPr>
      <t>1 099 085,81</t>
    </r>
  </si>
  <si>
    <r>
      <rPr>
        <b/>
        <sz val="10"/>
        <rFont val="Times New Roman"/>
        <family val="1"/>
        <charset val="204"/>
      </rPr>
      <t>549 542,91</t>
    </r>
  </si>
  <si>
    <r>
      <rPr>
        <b/>
        <sz val="10"/>
        <rFont val="Times New Roman"/>
        <family val="1"/>
        <charset val="204"/>
      </rPr>
      <t>1 239 638,49</t>
    </r>
  </si>
  <si>
    <r>
      <rPr>
        <b/>
        <sz val="10"/>
        <rFont val="Times New Roman"/>
        <family val="1"/>
        <charset val="204"/>
      </rPr>
      <t>619 819,25</t>
    </r>
  </si>
  <si>
    <r>
      <rPr>
        <b/>
        <sz val="10"/>
        <rFont val="Times New Roman"/>
        <family val="1"/>
        <charset val="204"/>
      </rPr>
      <t>1 218 666,24</t>
    </r>
  </si>
  <si>
    <r>
      <rPr>
        <b/>
        <sz val="10"/>
        <rFont val="Times New Roman"/>
        <family val="1"/>
        <charset val="204"/>
      </rPr>
      <t>609 333,12</t>
    </r>
  </si>
  <si>
    <r>
      <rPr>
        <b/>
        <sz val="10"/>
        <rFont val="Times New Roman"/>
        <family val="1"/>
        <charset val="204"/>
      </rPr>
      <t>2 270 071,40</t>
    </r>
  </si>
  <si>
    <r>
      <rPr>
        <b/>
        <sz val="10"/>
        <rFont val="Times New Roman"/>
        <family val="1"/>
        <charset val="204"/>
      </rPr>
      <t>1 135 035,70</t>
    </r>
  </si>
  <si>
    <r>
      <rPr>
        <b/>
        <sz val="10"/>
        <rFont val="Times New Roman"/>
        <family val="1"/>
        <charset val="204"/>
      </rPr>
      <t>258 477,31</t>
    </r>
  </si>
  <si>
    <r>
      <rPr>
        <b/>
        <sz val="10"/>
        <rFont val="Times New Roman"/>
        <family val="1"/>
        <charset val="204"/>
      </rPr>
      <t>129 238,66</t>
    </r>
  </si>
  <si>
    <r>
      <rPr>
        <b/>
        <sz val="10"/>
        <rFont val="Times New Roman"/>
        <family val="1"/>
        <charset val="204"/>
      </rPr>
      <t>144 147,91</t>
    </r>
  </si>
  <si>
    <r>
      <rPr>
        <b/>
        <sz val="10"/>
        <rFont val="Times New Roman"/>
        <family val="1"/>
        <charset val="204"/>
      </rPr>
      <t>429 030,00</t>
    </r>
  </si>
  <si>
    <r>
      <rPr>
        <b/>
        <sz val="10"/>
        <rFont val="Times New Roman"/>
        <family val="1"/>
        <charset val="204"/>
      </rPr>
      <t>214 515,00</t>
    </r>
  </si>
  <si>
    <r>
      <rPr>
        <b/>
        <sz val="10"/>
        <rFont val="Times New Roman"/>
        <family val="1"/>
        <charset val="204"/>
      </rPr>
      <t>482 100,00</t>
    </r>
  </si>
  <si>
    <r>
      <rPr>
        <b/>
        <sz val="10"/>
        <rFont val="Times New Roman"/>
        <family val="1"/>
        <charset val="204"/>
      </rPr>
      <t>241 050,00</t>
    </r>
  </si>
  <si>
    <r>
      <rPr>
        <b/>
        <sz val="10"/>
        <rFont val="Times New Roman"/>
        <family val="1"/>
        <charset val="204"/>
      </rPr>
      <t>3 652,01</t>
    </r>
  </si>
  <si>
    <r>
      <rPr>
        <b/>
        <sz val="10"/>
        <rFont val="Times New Roman"/>
        <family val="1"/>
        <charset val="204"/>
      </rPr>
      <t>1 826,01</t>
    </r>
  </si>
  <si>
    <r>
      <rPr>
        <b/>
        <sz val="10"/>
        <rFont val="Times New Roman"/>
        <family val="1"/>
        <charset val="204"/>
      </rPr>
      <t>2 445,02</t>
    </r>
  </si>
  <si>
    <r>
      <rPr>
        <b/>
        <sz val="10"/>
        <rFont val="Times New Roman"/>
        <family val="1"/>
        <charset val="204"/>
      </rPr>
      <t>1 222,51</t>
    </r>
  </si>
  <si>
    <r>
      <rPr>
        <b/>
        <sz val="10"/>
        <rFont val="Times New Roman"/>
        <family val="1"/>
        <charset val="204"/>
      </rPr>
      <t>1 641,57</t>
    </r>
  </si>
  <si>
    <r>
      <rPr>
        <b/>
        <sz val="10"/>
        <rFont val="Times New Roman"/>
        <family val="1"/>
        <charset val="204"/>
      </rPr>
      <t>820,79</t>
    </r>
  </si>
  <si>
    <r>
      <rPr>
        <b/>
        <sz val="10"/>
        <rFont val="Times New Roman"/>
        <family val="1"/>
        <charset val="204"/>
      </rPr>
      <t>677,70</t>
    </r>
  </si>
  <si>
    <r>
      <rPr>
        <b/>
        <sz val="10"/>
        <rFont val="Times New Roman"/>
        <family val="1"/>
        <charset val="204"/>
      </rPr>
      <t>338,85</t>
    </r>
  </si>
  <si>
    <r>
      <rPr>
        <b/>
        <sz val="10"/>
        <rFont val="Times New Roman"/>
        <family val="1"/>
        <charset val="204"/>
      </rPr>
      <t>1 447,99</t>
    </r>
  </si>
  <si>
    <r>
      <rPr>
        <b/>
        <sz val="10"/>
        <rFont val="Times New Roman"/>
        <family val="1"/>
        <charset val="204"/>
      </rPr>
      <t>724,00</t>
    </r>
  </si>
  <si>
    <r>
      <rPr>
        <b/>
        <sz val="10"/>
        <rFont val="Times New Roman"/>
        <family val="1"/>
        <charset val="204"/>
      </rPr>
      <t>1 026,99</t>
    </r>
  </si>
  <si>
    <r>
      <rPr>
        <b/>
        <sz val="10"/>
        <rFont val="Times New Roman"/>
        <family val="1"/>
        <charset val="204"/>
      </rPr>
      <t>513,50</t>
    </r>
  </si>
  <si>
    <r>
      <rPr>
        <b/>
        <sz val="10"/>
        <rFont val="Times New Roman"/>
        <family val="1"/>
        <charset val="204"/>
      </rPr>
      <t>771,49</t>
    </r>
  </si>
  <si>
    <r>
      <rPr>
        <b/>
        <sz val="10"/>
        <rFont val="Times New Roman"/>
        <family val="1"/>
        <charset val="204"/>
      </rPr>
      <t>385,75</t>
    </r>
  </si>
  <si>
    <r>
      <rPr>
        <b/>
        <sz val="10"/>
        <rFont val="Times New Roman"/>
        <family val="1"/>
        <charset val="204"/>
      </rPr>
      <t>623,56</t>
    </r>
  </si>
  <si>
    <r>
      <rPr>
        <b/>
        <sz val="10"/>
        <rFont val="Times New Roman"/>
        <family val="1"/>
        <charset val="204"/>
      </rPr>
      <t>311,78</t>
    </r>
  </si>
  <si>
    <r>
      <rPr>
        <b/>
        <sz val="10"/>
        <rFont val="Times New Roman"/>
        <family val="1"/>
        <charset val="204"/>
      </rPr>
      <t>526,64</t>
    </r>
  </si>
  <si>
    <r>
      <rPr>
        <b/>
        <sz val="10"/>
        <rFont val="Times New Roman"/>
        <family val="1"/>
        <charset val="204"/>
      </rPr>
      <t>263,32</t>
    </r>
  </si>
  <si>
    <r>
      <rPr>
        <b/>
        <sz val="10"/>
        <rFont val="Times New Roman"/>
        <family val="1"/>
        <charset val="204"/>
      </rPr>
      <t>558,96</t>
    </r>
  </si>
  <si>
    <r>
      <rPr>
        <b/>
        <sz val="10"/>
        <rFont val="Times New Roman"/>
        <family val="1"/>
        <charset val="204"/>
      </rPr>
      <t>279,48</t>
    </r>
  </si>
  <si>
    <r>
      <rPr>
        <b/>
        <sz val="10"/>
        <rFont val="Times New Roman"/>
        <family val="1"/>
        <charset val="204"/>
      </rPr>
      <t>2 502,12</t>
    </r>
  </si>
  <si>
    <r>
      <rPr>
        <b/>
        <sz val="10"/>
        <rFont val="Times New Roman"/>
        <family val="1"/>
        <charset val="204"/>
      </rPr>
      <t>1 251,06</t>
    </r>
  </si>
  <si>
    <r>
      <rPr>
        <b/>
        <sz val="10"/>
        <rFont val="Times New Roman"/>
        <family val="1"/>
        <charset val="204"/>
      </rPr>
      <t>1 658,21</t>
    </r>
  </si>
  <si>
    <r>
      <rPr>
        <b/>
        <sz val="10"/>
        <rFont val="Times New Roman"/>
        <family val="1"/>
        <charset val="204"/>
      </rPr>
      <t>829,11</t>
    </r>
  </si>
  <si>
    <r>
      <rPr>
        <b/>
        <sz val="10"/>
        <rFont val="Times New Roman"/>
        <family val="1"/>
        <charset val="204"/>
      </rPr>
      <t>1 242,39</t>
    </r>
  </si>
  <si>
    <r>
      <rPr>
        <b/>
        <sz val="10"/>
        <rFont val="Times New Roman"/>
        <family val="1"/>
        <charset val="204"/>
      </rPr>
      <t>621,20</t>
    </r>
  </si>
  <si>
    <r>
      <rPr>
        <b/>
        <sz val="10"/>
        <rFont val="Times New Roman"/>
        <family val="1"/>
        <charset val="204"/>
      </rPr>
      <t>906,46</t>
    </r>
  </si>
  <si>
    <r>
      <rPr>
        <b/>
        <sz val="10"/>
        <rFont val="Times New Roman"/>
        <family val="1"/>
        <charset val="204"/>
      </rPr>
      <t>453,23</t>
    </r>
  </si>
  <si>
    <r>
      <rPr>
        <b/>
        <sz val="10"/>
        <rFont val="Times New Roman"/>
        <family val="1"/>
        <charset val="204"/>
      </rPr>
      <t>1730,84</t>
    </r>
  </si>
  <si>
    <r>
      <rPr>
        <b/>
        <sz val="10"/>
        <rFont val="Times New Roman"/>
        <family val="1"/>
        <charset val="204"/>
      </rPr>
      <t>865,42</t>
    </r>
  </si>
  <si>
    <r>
      <rPr>
        <b/>
        <sz val="10"/>
        <rFont val="Times New Roman"/>
        <family val="1"/>
        <charset val="204"/>
      </rPr>
      <t>301,11</t>
    </r>
  </si>
  <si>
    <r>
      <rPr>
        <b/>
        <sz val="10"/>
        <rFont val="Times New Roman"/>
        <family val="1"/>
        <charset val="204"/>
      </rPr>
      <t>150,56</t>
    </r>
  </si>
  <si>
    <r>
      <rPr>
        <b/>
        <sz val="10"/>
        <rFont val="Times New Roman"/>
        <family val="1"/>
        <charset val="204"/>
      </rPr>
      <t>335,06</t>
    </r>
  </si>
  <si>
    <r>
      <rPr>
        <b/>
        <sz val="10"/>
        <rFont val="Times New Roman"/>
        <family val="1"/>
        <charset val="204"/>
      </rPr>
      <t>167,53</t>
    </r>
  </si>
  <si>
    <r>
      <rPr>
        <b/>
        <sz val="10"/>
        <rFont val="Times New Roman"/>
        <family val="1"/>
        <charset val="204"/>
      </rPr>
      <t>454,06</t>
    </r>
  </si>
  <si>
    <r>
      <rPr>
        <b/>
        <sz val="10"/>
        <rFont val="Times New Roman"/>
        <family val="1"/>
        <charset val="204"/>
      </rPr>
      <t>227,03</t>
    </r>
  </si>
  <si>
    <r>
      <rPr>
        <b/>
        <sz val="10"/>
        <rFont val="Times New Roman"/>
        <family val="1"/>
        <charset val="204"/>
      </rPr>
      <t>6 965,62</t>
    </r>
  </si>
  <si>
    <r>
      <rPr>
        <b/>
        <sz val="10"/>
        <rFont val="Times New Roman"/>
        <family val="1"/>
        <charset val="204"/>
      </rPr>
      <t>3 482,81</t>
    </r>
  </si>
  <si>
    <r>
      <rPr>
        <b/>
        <sz val="10"/>
        <rFont val="Times New Roman"/>
        <family val="1"/>
        <charset val="204"/>
      </rPr>
      <t>4 437,14</t>
    </r>
  </si>
  <si>
    <r>
      <rPr>
        <b/>
        <sz val="10"/>
        <rFont val="Times New Roman"/>
        <family val="1"/>
        <charset val="204"/>
      </rPr>
      <t>2 218,57</t>
    </r>
  </si>
  <si>
    <r>
      <rPr>
        <b/>
        <sz val="10"/>
        <rFont val="Times New Roman"/>
        <family val="1"/>
        <charset val="204"/>
      </rPr>
      <t>2 880,61</t>
    </r>
  </si>
  <si>
    <r>
      <rPr>
        <b/>
        <sz val="10"/>
        <rFont val="Times New Roman"/>
        <family val="1"/>
        <charset val="204"/>
      </rPr>
      <t>1 440,31</t>
    </r>
  </si>
  <si>
    <r>
      <rPr>
        <b/>
        <sz val="10"/>
        <rFont val="Times New Roman"/>
        <family val="1"/>
        <charset val="204"/>
      </rPr>
      <t>7 227,57</t>
    </r>
  </si>
  <si>
    <r>
      <rPr>
        <b/>
        <sz val="10"/>
        <rFont val="Times New Roman"/>
        <family val="1"/>
        <charset val="204"/>
      </rPr>
      <t>3 613,79</t>
    </r>
  </si>
  <si>
    <r>
      <rPr>
        <b/>
        <sz val="10"/>
        <rFont val="Times New Roman"/>
        <family val="1"/>
        <charset val="204"/>
      </rPr>
      <t>4 593,83</t>
    </r>
  </si>
  <si>
    <r>
      <rPr>
        <b/>
        <sz val="10"/>
        <rFont val="Times New Roman"/>
        <family val="1"/>
        <charset val="204"/>
      </rPr>
      <t>2 296,92</t>
    </r>
  </si>
  <si>
    <r>
      <rPr>
        <b/>
        <sz val="10"/>
        <rFont val="Times New Roman"/>
        <family val="1"/>
        <charset val="204"/>
      </rPr>
      <t>2 866,07</t>
    </r>
  </si>
  <si>
    <r>
      <rPr>
        <b/>
        <sz val="10"/>
        <rFont val="Times New Roman"/>
        <family val="1"/>
        <charset val="204"/>
      </rPr>
      <t>1 433,04</t>
    </r>
  </si>
  <si>
    <r>
      <rPr>
        <b/>
        <sz val="10"/>
        <rFont val="Times New Roman"/>
        <family val="1"/>
        <charset val="204"/>
      </rPr>
      <t>8 458,40</t>
    </r>
  </si>
  <si>
    <r>
      <rPr>
        <b/>
        <sz val="10"/>
        <rFont val="Times New Roman"/>
        <family val="1"/>
        <charset val="204"/>
      </rPr>
      <t>4 229,20</t>
    </r>
  </si>
  <si>
    <r>
      <rPr>
        <b/>
        <sz val="10"/>
        <rFont val="Times New Roman"/>
        <family val="1"/>
        <charset val="204"/>
      </rPr>
      <t>5 478,43</t>
    </r>
  </si>
  <si>
    <r>
      <rPr>
        <b/>
        <sz val="10"/>
        <rFont val="Times New Roman"/>
        <family val="1"/>
        <charset val="204"/>
      </rPr>
      <t>2 739,22</t>
    </r>
  </si>
  <si>
    <r>
      <rPr>
        <b/>
        <sz val="10"/>
        <rFont val="Times New Roman"/>
        <family val="1"/>
        <charset val="204"/>
      </rPr>
      <t>3 414,84</t>
    </r>
  </si>
  <si>
    <r>
      <rPr>
        <b/>
        <sz val="10"/>
        <rFont val="Times New Roman"/>
        <family val="1"/>
        <charset val="204"/>
      </rPr>
      <t>1 707,42</t>
    </r>
  </si>
  <si>
    <r>
      <rPr>
        <b/>
        <sz val="10"/>
        <rFont val="Times New Roman"/>
        <family val="1"/>
        <charset val="204"/>
      </rPr>
      <t>9 505,49</t>
    </r>
  </si>
  <si>
    <r>
      <rPr>
        <b/>
        <sz val="10"/>
        <rFont val="Times New Roman"/>
        <family val="1"/>
        <charset val="204"/>
      </rPr>
      <t>4 752,75</t>
    </r>
  </si>
  <si>
    <r>
      <rPr>
        <b/>
        <sz val="10"/>
        <rFont val="Times New Roman"/>
        <family val="1"/>
        <charset val="204"/>
      </rPr>
      <t>5 960,49</t>
    </r>
  </si>
  <si>
    <r>
      <rPr>
        <b/>
        <sz val="10"/>
        <rFont val="Times New Roman"/>
        <family val="1"/>
        <charset val="204"/>
      </rPr>
      <t>2 980,25</t>
    </r>
  </si>
  <si>
    <r>
      <rPr>
        <b/>
        <sz val="10"/>
        <rFont val="Times New Roman"/>
        <family val="1"/>
        <charset val="204"/>
      </rPr>
      <t>3 902,36</t>
    </r>
  </si>
  <si>
    <r>
      <rPr>
        <b/>
        <sz val="10"/>
        <rFont val="Times New Roman"/>
        <family val="1"/>
        <charset val="204"/>
      </rPr>
      <t>1 951,18</t>
    </r>
  </si>
  <si>
    <r>
      <rPr>
        <b/>
        <sz val="10"/>
        <rFont val="Times New Roman"/>
        <family val="1"/>
        <charset val="204"/>
      </rPr>
      <t>2 477,14</t>
    </r>
  </si>
  <si>
    <r>
      <rPr>
        <b/>
        <sz val="10"/>
        <rFont val="Times New Roman"/>
        <family val="1"/>
        <charset val="204"/>
      </rPr>
      <t>1 238,57</t>
    </r>
  </si>
  <si>
    <r>
      <rPr>
        <b/>
        <sz val="10"/>
        <rFont val="Times New Roman"/>
        <family val="1"/>
        <charset val="204"/>
      </rPr>
      <t>1 614,32</t>
    </r>
  </si>
  <si>
    <r>
      <rPr>
        <b/>
        <sz val="10"/>
        <rFont val="Times New Roman"/>
        <family val="1"/>
        <charset val="204"/>
      </rPr>
      <t>807,16</t>
    </r>
  </si>
  <si>
    <r>
      <rPr>
        <b/>
        <sz val="10"/>
        <rFont val="Times New Roman"/>
        <family val="1"/>
        <charset val="204"/>
      </rPr>
      <t>9 997,39</t>
    </r>
  </si>
  <si>
    <r>
      <rPr>
        <b/>
        <sz val="10"/>
        <rFont val="Times New Roman"/>
        <family val="1"/>
        <charset val="204"/>
      </rPr>
      <t>4 998,70</t>
    </r>
  </si>
  <si>
    <r>
      <rPr>
        <b/>
        <sz val="10"/>
        <rFont val="Times New Roman"/>
        <family val="1"/>
        <charset val="204"/>
      </rPr>
      <t>6 267,89</t>
    </r>
  </si>
  <si>
    <r>
      <rPr>
        <b/>
        <sz val="10"/>
        <rFont val="Times New Roman"/>
        <family val="1"/>
        <charset val="204"/>
      </rPr>
      <t>3 133,95</t>
    </r>
  </si>
  <si>
    <r>
      <rPr>
        <b/>
        <sz val="10"/>
        <rFont val="Times New Roman"/>
        <family val="1"/>
        <charset val="204"/>
      </rPr>
      <t>4 100,53</t>
    </r>
  </si>
  <si>
    <r>
      <rPr>
        <b/>
        <sz val="10"/>
        <rFont val="Times New Roman"/>
        <family val="1"/>
        <charset val="204"/>
      </rPr>
      <t>2 050,27</t>
    </r>
  </si>
  <si>
    <r>
      <rPr>
        <b/>
        <sz val="10"/>
        <rFont val="Times New Roman"/>
        <family val="1"/>
        <charset val="204"/>
      </rPr>
      <t>2 597,87</t>
    </r>
  </si>
  <si>
    <r>
      <rPr>
        <b/>
        <sz val="10"/>
        <rFont val="Times New Roman"/>
        <family val="1"/>
        <charset val="204"/>
      </rPr>
      <t>1 298,94</t>
    </r>
  </si>
  <si>
    <r>
      <rPr>
        <b/>
        <sz val="10"/>
        <rFont val="Times New Roman"/>
        <family val="1"/>
        <charset val="204"/>
      </rPr>
      <t>1 692,96</t>
    </r>
  </si>
  <si>
    <r>
      <rPr>
        <b/>
        <sz val="10"/>
        <rFont val="Times New Roman"/>
        <family val="1"/>
        <charset val="204"/>
      </rPr>
      <t>846,48</t>
    </r>
  </si>
  <si>
    <r>
      <rPr>
        <b/>
        <sz val="10"/>
        <rFont val="Times New Roman"/>
        <family val="1"/>
        <charset val="204"/>
      </rPr>
      <t>10 909,42</t>
    </r>
  </si>
  <si>
    <r>
      <rPr>
        <b/>
        <sz val="10"/>
        <rFont val="Times New Roman"/>
        <family val="1"/>
        <charset val="204"/>
      </rPr>
      <t>5 454,71</t>
    </r>
  </si>
  <si>
    <r>
      <rPr>
        <b/>
        <sz val="10"/>
        <rFont val="Times New Roman"/>
        <family val="1"/>
        <charset val="204"/>
      </rPr>
      <t>6 833,74</t>
    </r>
  </si>
  <si>
    <r>
      <rPr>
        <b/>
        <sz val="10"/>
        <rFont val="Times New Roman"/>
        <family val="1"/>
        <charset val="204"/>
      </rPr>
      <t>3 416,87</t>
    </r>
  </si>
  <si>
    <r>
      <rPr>
        <b/>
        <sz val="10"/>
        <rFont val="Times New Roman"/>
        <family val="1"/>
        <charset val="204"/>
      </rPr>
      <t>4 463,05</t>
    </r>
  </si>
  <si>
    <r>
      <rPr>
        <b/>
        <sz val="10"/>
        <rFont val="Times New Roman"/>
        <family val="1"/>
        <charset val="204"/>
      </rPr>
      <t>2 231,53</t>
    </r>
  </si>
  <si>
    <r>
      <rPr>
        <b/>
        <sz val="10"/>
        <rFont val="Times New Roman"/>
        <family val="1"/>
        <charset val="204"/>
      </rPr>
      <t>2 824,35</t>
    </r>
  </si>
  <si>
    <r>
      <rPr>
        <b/>
        <sz val="10"/>
        <rFont val="Times New Roman"/>
        <family val="1"/>
        <charset val="204"/>
      </rPr>
      <t>1 412,18</t>
    </r>
  </si>
  <si>
    <r>
      <rPr>
        <b/>
        <sz val="10"/>
        <rFont val="Times New Roman"/>
        <family val="1"/>
        <charset val="204"/>
      </rPr>
      <t>1 836,77</t>
    </r>
  </si>
  <si>
    <r>
      <rPr>
        <b/>
        <sz val="10"/>
        <rFont val="Times New Roman"/>
        <family val="1"/>
        <charset val="204"/>
      </rPr>
      <t>918,39</t>
    </r>
  </si>
  <si>
    <r>
      <rPr>
        <b/>
        <sz val="10"/>
        <rFont val="Times New Roman"/>
        <family val="1"/>
        <charset val="204"/>
      </rPr>
      <t>29 671,57</t>
    </r>
  </si>
  <si>
    <r>
      <rPr>
        <b/>
        <sz val="10"/>
        <rFont val="Times New Roman"/>
        <family val="1"/>
        <charset val="204"/>
      </rPr>
      <t>14 835,79</t>
    </r>
  </si>
  <si>
    <r>
      <rPr>
        <b/>
        <sz val="10"/>
        <rFont val="Times New Roman"/>
        <family val="1"/>
        <charset val="204"/>
      </rPr>
      <t>18 580,71</t>
    </r>
  </si>
  <si>
    <r>
      <rPr>
        <b/>
        <sz val="10"/>
        <rFont val="Times New Roman"/>
        <family val="1"/>
        <charset val="204"/>
      </rPr>
      <t>9 290,36</t>
    </r>
  </si>
  <si>
    <r>
      <rPr>
        <b/>
        <sz val="10"/>
        <rFont val="Times New Roman"/>
        <family val="1"/>
        <charset val="204"/>
      </rPr>
      <t>12 066,90</t>
    </r>
  </si>
  <si>
    <r>
      <rPr>
        <b/>
        <sz val="10"/>
        <rFont val="Times New Roman"/>
        <family val="1"/>
        <charset val="204"/>
      </rPr>
      <t>6 033,45</t>
    </r>
  </si>
  <si>
    <r>
      <rPr>
        <b/>
        <sz val="10"/>
        <rFont val="Times New Roman"/>
        <family val="1"/>
        <charset val="204"/>
      </rPr>
      <t>7 611,80</t>
    </r>
  </si>
  <si>
    <r>
      <rPr>
        <b/>
        <sz val="10"/>
        <rFont val="Times New Roman"/>
        <family val="1"/>
        <charset val="204"/>
      </rPr>
      <t>3 805,90</t>
    </r>
  </si>
  <si>
    <r>
      <rPr>
        <b/>
        <sz val="10"/>
        <rFont val="Times New Roman"/>
        <family val="1"/>
        <charset val="204"/>
      </rPr>
      <t>4 920,38</t>
    </r>
  </si>
  <si>
    <r>
      <rPr>
        <b/>
        <sz val="10"/>
        <rFont val="Times New Roman"/>
        <family val="1"/>
        <charset val="204"/>
      </rPr>
      <t>2 460,19</t>
    </r>
  </si>
  <si>
    <r>
      <rPr>
        <b/>
        <sz val="10"/>
        <rFont val="Times New Roman"/>
        <family val="1"/>
        <charset val="204"/>
      </rPr>
      <t>2 469,71</t>
    </r>
  </si>
  <si>
    <r>
      <rPr>
        <b/>
        <sz val="10"/>
        <rFont val="Times New Roman"/>
        <family val="1"/>
        <charset val="204"/>
      </rPr>
      <t>1 234,86</t>
    </r>
  </si>
  <si>
    <r>
      <rPr>
        <b/>
        <sz val="10"/>
        <rFont val="Times New Roman"/>
        <family val="1"/>
        <charset val="204"/>
      </rPr>
      <t>1 623,67</t>
    </r>
  </si>
  <si>
    <r>
      <rPr>
        <b/>
        <sz val="10"/>
        <rFont val="Times New Roman"/>
        <family val="1"/>
        <charset val="204"/>
      </rPr>
      <t>811,84</t>
    </r>
  </si>
  <si>
    <r>
      <rPr>
        <b/>
        <sz val="10"/>
        <rFont val="Times New Roman"/>
        <family val="1"/>
        <charset val="204"/>
      </rPr>
      <t>4 198,36</t>
    </r>
  </si>
  <si>
    <r>
      <rPr>
        <b/>
        <sz val="10"/>
        <rFont val="Times New Roman"/>
        <family val="1"/>
        <charset val="204"/>
      </rPr>
      <t>2 099,18</t>
    </r>
  </si>
  <si>
    <r>
      <rPr>
        <b/>
        <sz val="10"/>
        <rFont val="Times New Roman"/>
        <family val="1"/>
        <charset val="204"/>
      </rPr>
      <t>2 712,72</t>
    </r>
  </si>
  <si>
    <r>
      <rPr>
        <b/>
        <sz val="10"/>
        <rFont val="Times New Roman"/>
        <family val="1"/>
        <charset val="204"/>
      </rPr>
      <t>1 356,36</t>
    </r>
  </si>
  <si>
    <r>
      <rPr>
        <b/>
        <sz val="10"/>
        <rFont val="Times New Roman"/>
        <family val="1"/>
        <charset val="204"/>
      </rPr>
      <t>4 564,22</t>
    </r>
  </si>
  <si>
    <r>
      <rPr>
        <b/>
        <sz val="10"/>
        <rFont val="Times New Roman"/>
        <family val="1"/>
        <charset val="204"/>
      </rPr>
      <t>2 282,11</t>
    </r>
  </si>
  <si>
    <r>
      <rPr>
        <b/>
        <sz val="10"/>
        <rFont val="Times New Roman"/>
        <family val="1"/>
        <charset val="204"/>
      </rPr>
      <t>2 943,22</t>
    </r>
  </si>
  <si>
    <r>
      <rPr>
        <b/>
        <sz val="10"/>
        <rFont val="Times New Roman"/>
        <family val="1"/>
        <charset val="204"/>
      </rPr>
      <t>1 471,61</t>
    </r>
  </si>
  <si>
    <r>
      <rPr>
        <b/>
        <sz val="10"/>
        <rFont val="Times New Roman"/>
        <family val="1"/>
        <charset val="204"/>
      </rPr>
      <t>5 919,01</t>
    </r>
  </si>
  <si>
    <r>
      <rPr>
        <b/>
        <sz val="10"/>
        <rFont val="Times New Roman"/>
        <family val="1"/>
        <charset val="204"/>
      </rPr>
      <t>2 959,51</t>
    </r>
  </si>
  <si>
    <r>
      <rPr>
        <b/>
        <sz val="10"/>
        <rFont val="Times New Roman"/>
        <family val="1"/>
        <charset val="204"/>
      </rPr>
      <t>3 796,73</t>
    </r>
  </si>
  <si>
    <r>
      <rPr>
        <b/>
        <sz val="10"/>
        <rFont val="Times New Roman"/>
        <family val="1"/>
        <charset val="204"/>
      </rPr>
      <t>1 898,37</t>
    </r>
  </si>
  <si>
    <t>стандартизированные ставки</t>
  </si>
  <si>
    <r>
      <t xml:space="preserve">строительство ВЛИ-0,4 кВ, СИП2 </t>
    </r>
    <r>
      <rPr>
        <b/>
        <sz val="10"/>
        <rFont val="Times New Roman"/>
        <family val="1"/>
        <charset val="204"/>
      </rPr>
      <t>3x16</t>
    </r>
  </si>
  <si>
    <t>строительство ВЛИ-0,4 кВ, СИП2 3x25</t>
  </si>
  <si>
    <r>
      <rPr>
        <b/>
        <sz val="10"/>
        <rFont val="Times New Roman"/>
        <family val="1"/>
        <charset val="204"/>
      </rPr>
      <t>309,49</t>
    </r>
  </si>
  <si>
    <r>
      <rPr>
        <b/>
        <sz val="10"/>
        <rFont val="Times New Roman"/>
        <family val="1"/>
        <charset val="204"/>
      </rPr>
      <t>176,77</t>
    </r>
  </si>
  <si>
    <r>
      <rPr>
        <b/>
        <sz val="10"/>
        <rFont val="Times New Roman"/>
        <family val="1"/>
        <charset val="204"/>
      </rPr>
      <t>246,89</t>
    </r>
  </si>
  <si>
    <t>строительство КТП киоскового типа 100-10/0,4</t>
  </si>
  <si>
    <t>100 киоскового типа</t>
  </si>
  <si>
    <t>160 киоскового типа</t>
  </si>
  <si>
    <t>250 киоскового типа</t>
  </si>
  <si>
    <t>400 киоскового типа</t>
  </si>
  <si>
    <t>630 киоскового типа</t>
  </si>
  <si>
    <t>1000 киоскового типа</t>
  </si>
  <si>
    <t>строительство КЛ-0,4 кВ, АСАБлУ-14х185</t>
  </si>
  <si>
    <t>Длина линии</t>
  </si>
  <si>
    <t>строительство ВЛИ-0,4 кВ, СИП4-2х16</t>
  </si>
  <si>
    <t>строительство ВЛИ-0,4 кВ, СИП4-4х25</t>
  </si>
  <si>
    <t>строительство ВЛИ-0,4 кВ, СИП4-4х35</t>
  </si>
  <si>
    <t>строительство ВЛИ-0,4 кВ, СИП4-4х50</t>
  </si>
  <si>
    <t>строительство ВЛИ-0,4 кВ, СИП4-4х70</t>
  </si>
  <si>
    <t>строительство ВЛИ-0,4 кВ, СИП4-4х95</t>
  </si>
  <si>
    <t>строительство ВЛЗ-10 кВ, СИПЗ-1х35</t>
  </si>
  <si>
    <t>строительство ВЛЗ-10 кВ, СИПЗ-1х50</t>
  </si>
  <si>
    <t>строительство ВЛЗ-10 кВ, СИПЗ-1х70</t>
  </si>
  <si>
    <t>строительство ВЛЗ-10 кВ, СИПЗ-1х95</t>
  </si>
  <si>
    <t>строительство ВЛЗ-10 кВ, СИПЗ-1х120</t>
  </si>
  <si>
    <t>строительство ВЛЗ-10 кВ, АС-50</t>
  </si>
  <si>
    <t>строительство ВЛЗ-10 кВ, АС-70</t>
  </si>
  <si>
    <t>строительство ВЛЗ-10 кВ, АС-95</t>
  </si>
  <si>
    <t>до</t>
  </si>
  <si>
    <t>строительство двухцепной ВЛ-10(6) кВ в габаритах 35 кВ на ж/б опорах проводом АС-120</t>
  </si>
  <si>
    <t>строительство КЛ-0,4 кВ, АСБ-1 4x185 (с проколом)</t>
  </si>
  <si>
    <t>строительство КЛ-10(6) кВ, АСБ-10 3x185 (с проколом)</t>
  </si>
  <si>
    <t>максимал</t>
  </si>
  <si>
    <t>максимальная</t>
  </si>
  <si>
    <t>стандарт</t>
  </si>
  <si>
    <t xml:space="preserve">стандарт </t>
  </si>
  <si>
    <t xml:space="preserve">Данный калькулятор рассчитан на потребителей услуг по технологическому присоединению с заявляемой максимальной мощностью до 5900 кВт и уровне напряжения менее 35 кВ </t>
  </si>
  <si>
    <t>каждый квартал меняються</t>
  </si>
  <si>
    <t xml:space="preserve"> (Расчёт произведён в ценах 3 кв. 2017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</si>
</sst>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21">
    <font>
      <sz val="11"/>
      <color theme="1"/>
      <name val="Arial"/>
      <family val="2"/>
      <charset val="204"/>
      <scheme val="minor"/>
    </font>
    <font>
      <b/>
      <sz val="11"/>
      <color theme="1"/>
      <name val="Arial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Arial"/>
      <family val="2"/>
      <charset val="204"/>
      <scheme val="minor"/>
    </font>
    <font>
      <sz val="11"/>
      <color theme="0" tint="-0.249977111117893"/>
      <name val="Arial"/>
      <family val="2"/>
      <charset val="204"/>
      <scheme val="minor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Arial"/>
      <family val="2"/>
      <charset val="204"/>
      <scheme val="minor"/>
    </font>
    <font>
      <sz val="18"/>
      <color theme="1"/>
      <name val="Arial"/>
      <family val="2"/>
      <charset val="204"/>
      <scheme val="minor"/>
    </font>
    <font>
      <b/>
      <sz val="13"/>
      <color rgb="FF000000"/>
      <name val="Times New Roman"/>
      <family val="1"/>
      <charset val="204"/>
    </font>
    <font>
      <b/>
      <sz val="16"/>
      <color rgb="FFFF0000"/>
      <name val="Hobo Std"/>
      <family val="2"/>
    </font>
    <font>
      <b/>
      <sz val="13"/>
      <color theme="1"/>
      <name val="Times New Roman"/>
      <family val="1"/>
      <charset val="204"/>
    </font>
    <font>
      <sz val="11"/>
      <color theme="1"/>
      <name val="Arial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i/>
      <sz val="13.5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4"/>
      <color theme="1"/>
      <name val="Arial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 vertical="center"/>
    </xf>
    <xf numFmtId="0" fontId="0" fillId="3" borderId="13" xfId="0" applyFill="1" applyBorder="1"/>
    <xf numFmtId="0" fontId="0" fillId="3" borderId="0" xfId="0" applyFill="1" applyBorder="1"/>
    <xf numFmtId="0" fontId="1" fillId="3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/>
    <xf numFmtId="49" fontId="3" fillId="3" borderId="0" xfId="0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3" fillId="3" borderId="13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0" fillId="3" borderId="15" xfId="0" applyFill="1" applyBorder="1"/>
    <xf numFmtId="0" fontId="8" fillId="3" borderId="13" xfId="0" applyFont="1" applyFill="1" applyBorder="1" applyAlignment="1">
      <alignment vertical="top"/>
    </xf>
    <xf numFmtId="0" fontId="8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0" fontId="10" fillId="3" borderId="15" xfId="0" applyFont="1" applyFill="1" applyBorder="1" applyAlignment="1">
      <alignment vertical="top"/>
    </xf>
    <xf numFmtId="0" fontId="9" fillId="3" borderId="13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9" fillId="3" borderId="15" xfId="0" applyFont="1" applyFill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center" vertical="center"/>
      <protection locked="0"/>
    </xf>
    <xf numFmtId="49" fontId="0" fillId="9" borderId="21" xfId="0" applyNumberFormat="1" applyFill="1" applyBorder="1" applyAlignment="1" applyProtection="1">
      <alignment horizontal="center" vertical="center"/>
      <protection hidden="1"/>
    </xf>
    <xf numFmtId="49" fontId="0" fillId="0" borderId="0" xfId="0" applyNumberFormat="1" applyProtection="1">
      <protection hidden="1"/>
    </xf>
    <xf numFmtId="0" fontId="0" fillId="7" borderId="21" xfId="0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0" fontId="11" fillId="6" borderId="19" xfId="0" applyFont="1" applyFill="1" applyBorder="1" applyAlignment="1" applyProtection="1">
      <alignment horizontal="center" vertical="center"/>
      <protection hidden="1"/>
    </xf>
    <xf numFmtId="0" fontId="0" fillId="5" borderId="21" xfId="0" applyFill="1" applyBorder="1" applyAlignment="1" applyProtection="1">
      <alignment horizontal="center" vertical="center"/>
      <protection hidden="1"/>
    </xf>
    <xf numFmtId="0" fontId="0" fillId="8" borderId="20" xfId="0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vertical="center"/>
      <protection hidden="1"/>
    </xf>
    <xf numFmtId="0" fontId="0" fillId="8" borderId="15" xfId="0" applyFill="1" applyBorder="1" applyAlignment="1" applyProtection="1">
      <alignment horizontal="center" vertical="center"/>
      <protection hidden="1"/>
    </xf>
    <xf numFmtId="0" fontId="11" fillId="0" borderId="16" xfId="0" applyFont="1" applyBorder="1" applyAlignment="1" applyProtection="1">
      <alignment vertical="center"/>
      <protection hidden="1"/>
    </xf>
    <xf numFmtId="0" fontId="1" fillId="5" borderId="21" xfId="0" applyFont="1" applyFill="1" applyBorder="1" applyAlignment="1" applyProtection="1">
      <alignment horizontal="center"/>
      <protection hidden="1"/>
    </xf>
    <xf numFmtId="0" fontId="1" fillId="5" borderId="21" xfId="0" applyFont="1" applyFill="1" applyBorder="1" applyAlignment="1" applyProtection="1">
      <alignment horizontal="center" vertical="center"/>
      <protection hidden="1"/>
    </xf>
    <xf numFmtId="0" fontId="14" fillId="8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11" borderId="0" xfId="0" applyFont="1" applyFill="1" applyBorder="1" applyAlignment="1" applyProtection="1">
      <alignment horizontal="center" vertical="center"/>
      <protection hidden="1"/>
    </xf>
    <xf numFmtId="0" fontId="0" fillId="11" borderId="0" xfId="0" applyFill="1" applyBorder="1" applyAlignment="1" applyProtection="1">
      <alignment horizontal="center" vertical="center"/>
      <protection hidden="1"/>
    </xf>
    <xf numFmtId="4" fontId="9" fillId="11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11" borderId="0" xfId="0" applyFill="1" applyBorder="1" applyProtection="1">
      <protection hidden="1"/>
    </xf>
    <xf numFmtId="2" fontId="0" fillId="0" borderId="0" xfId="0" applyNumberForma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12" borderId="21" xfId="0" applyFill="1" applyBorder="1" applyAlignment="1" applyProtection="1">
      <alignment horizontal="center" vertical="center"/>
      <protection hidden="1"/>
    </xf>
    <xf numFmtId="0" fontId="0" fillId="7" borderId="0" xfId="0" applyFill="1" applyAlignment="1" applyProtection="1">
      <alignment horizontal="right" vertical="center"/>
      <protection hidden="1"/>
    </xf>
    <xf numFmtId="0" fontId="0" fillId="7" borderId="0" xfId="0" applyFill="1" applyAlignment="1" applyProtection="1">
      <alignment horizontal="center" vertical="center"/>
      <protection hidden="1"/>
    </xf>
    <xf numFmtId="4" fontId="0" fillId="0" borderId="21" xfId="0" applyNumberFormat="1" applyBorder="1" applyProtection="1">
      <protection hidden="1"/>
    </xf>
    <xf numFmtId="49" fontId="0" fillId="0" borderId="0" xfId="0" quotePrefix="1" applyNumberFormat="1" applyProtection="1">
      <protection hidden="1"/>
    </xf>
    <xf numFmtId="0" fontId="0" fillId="12" borderId="21" xfId="0" applyFill="1" applyBorder="1" applyAlignment="1" applyProtection="1">
      <alignment horizontal="center"/>
      <protection hidden="1"/>
    </xf>
    <xf numFmtId="0" fontId="9" fillId="11" borderId="0" xfId="0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Protection="1">
      <protection hidden="1"/>
    </xf>
    <xf numFmtId="2" fontId="0" fillId="10" borderId="21" xfId="0" applyNumberFormat="1" applyFill="1" applyBorder="1" applyAlignment="1" applyProtection="1">
      <alignment horizontal="center" vertical="center"/>
      <protection hidden="1"/>
    </xf>
    <xf numFmtId="0" fontId="1" fillId="11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12" fillId="11" borderId="0" xfId="0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Border="1" applyProtection="1">
      <protection hidden="1"/>
    </xf>
    <xf numFmtId="0" fontId="0" fillId="0" borderId="21" xfId="0" applyBorder="1" applyProtection="1">
      <protection hidden="1"/>
    </xf>
    <xf numFmtId="0" fontId="0" fillId="11" borderId="0" xfId="0" applyFill="1" applyBorder="1" applyAlignment="1" applyProtection="1">
      <alignment horizontal="center"/>
      <protection hidden="1"/>
    </xf>
    <xf numFmtId="4" fontId="9" fillId="11" borderId="0" xfId="0" applyNumberFormat="1" applyFont="1" applyFill="1" applyBorder="1" applyAlignment="1" applyProtection="1">
      <alignment horizontal="center" wrapText="1"/>
      <protection hidden="1"/>
    </xf>
    <xf numFmtId="0" fontId="0" fillId="7" borderId="0" xfId="0" applyFill="1" applyAlignment="1" applyProtection="1">
      <alignment horizontal="center"/>
      <protection hidden="1"/>
    </xf>
    <xf numFmtId="0" fontId="0" fillId="10" borderId="0" xfId="0" applyFill="1" applyAlignment="1" applyProtection="1">
      <alignment horizontal="center" vertical="center"/>
      <protection hidden="1"/>
    </xf>
    <xf numFmtId="0" fontId="1" fillId="11" borderId="21" xfId="0" applyFont="1" applyFill="1" applyBorder="1" applyAlignment="1" applyProtection="1">
      <alignment horizontal="center"/>
      <protection hidden="1"/>
    </xf>
    <xf numFmtId="0" fontId="0" fillId="12" borderId="0" xfId="0" applyFill="1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" fillId="5" borderId="21" xfId="0" applyFont="1" applyFill="1" applyBorder="1" applyAlignment="1" applyProtection="1">
      <alignment horizontal="center" vertical="center" wrapText="1"/>
      <protection hidden="1"/>
    </xf>
    <xf numFmtId="0" fontId="1" fillId="10" borderId="21" xfId="0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left" vertical="top"/>
      <protection hidden="1"/>
    </xf>
    <xf numFmtId="0" fontId="0" fillId="0" borderId="1" xfId="0" applyBorder="1" applyAlignment="1" applyProtection="1">
      <alignment horizontal="center" vertical="top"/>
      <protection hidden="1"/>
    </xf>
    <xf numFmtId="0" fontId="18" fillId="0" borderId="1" xfId="0" applyFont="1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top"/>
      <protection hidden="1"/>
    </xf>
    <xf numFmtId="4" fontId="9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0" xfId="0" applyNumberFormat="1" applyAlignment="1" applyProtection="1">
      <alignment horizontal="center" vertical="center"/>
      <protection hidden="1"/>
    </xf>
    <xf numFmtId="0" fontId="1" fillId="9" borderId="0" xfId="0" applyFont="1" applyFill="1" applyBorder="1" applyAlignment="1" applyProtection="1">
      <alignment horizontal="center" vertical="center"/>
      <protection hidden="1"/>
    </xf>
    <xf numFmtId="0" fontId="1" fillId="9" borderId="0" xfId="0" applyFont="1" applyFill="1" applyAlignment="1" applyProtection="1">
      <alignment horizontal="center" vertical="center"/>
      <protection hidden="1"/>
    </xf>
    <xf numFmtId="0" fontId="1" fillId="9" borderId="21" xfId="0" applyFont="1" applyFill="1" applyBorder="1" applyAlignment="1" applyProtection="1">
      <alignment horizontal="center" vertical="center"/>
      <protection hidden="1"/>
    </xf>
    <xf numFmtId="0" fontId="0" fillId="9" borderId="0" xfId="0" applyFill="1" applyAlignment="1" applyProtection="1">
      <alignment horizontal="center" vertical="center"/>
      <protection hidden="1"/>
    </xf>
    <xf numFmtId="4" fontId="9" fillId="9" borderId="0" xfId="0" applyNumberFormat="1" applyFont="1" applyFill="1" applyBorder="1" applyAlignment="1" applyProtection="1">
      <alignment horizontal="center" vertical="center" wrapText="1"/>
      <protection hidden="1"/>
    </xf>
    <xf numFmtId="4" fontId="0" fillId="9" borderId="0" xfId="0" applyNumberFormat="1" applyFill="1" applyAlignment="1" applyProtection="1">
      <alignment horizontal="center" vertical="center"/>
      <protection hidden="1"/>
    </xf>
    <xf numFmtId="0" fontId="0" fillId="9" borderId="0" xfId="0" applyFill="1" applyProtection="1">
      <protection hidden="1"/>
    </xf>
    <xf numFmtId="49" fontId="0" fillId="9" borderId="0" xfId="0" applyNumberFormat="1" applyFill="1" applyProtection="1">
      <protection hidden="1"/>
    </xf>
    <xf numFmtId="0" fontId="18" fillId="0" borderId="1" xfId="0" applyFont="1" applyBorder="1" applyAlignment="1" applyProtection="1">
      <alignment horizontal="left" wrapText="1"/>
      <protection hidden="1"/>
    </xf>
    <xf numFmtId="4" fontId="12" fillId="9" borderId="0" xfId="0" applyNumberFormat="1" applyFont="1" applyFill="1" applyBorder="1" applyAlignment="1" applyProtection="1">
      <alignment horizontal="center" vertical="center" wrapText="1"/>
      <protection hidden="1"/>
    </xf>
    <xf numFmtId="4" fontId="1" fillId="9" borderId="0" xfId="0" applyNumberFormat="1" applyFont="1" applyFill="1" applyAlignment="1" applyProtection="1">
      <alignment horizontal="center" vertical="center"/>
      <protection hidden="1"/>
    </xf>
    <xf numFmtId="49" fontId="1" fillId="9" borderId="0" xfId="0" applyNumberFormat="1" applyFont="1" applyFill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top"/>
      <protection hidden="1"/>
    </xf>
    <xf numFmtId="0" fontId="18" fillId="0" borderId="1" xfId="0" applyFont="1" applyBorder="1" applyAlignment="1" applyProtection="1">
      <alignment horizontal="left" vertical="top" wrapText="1"/>
      <protection hidden="1"/>
    </xf>
    <xf numFmtId="0" fontId="0" fillId="0" borderId="1" xfId="0" applyBorder="1" applyAlignment="1" applyProtection="1">
      <alignment horizontal="left" vertical="top" wrapText="1"/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10" borderId="0" xfId="0" applyNumberFormat="1" applyFill="1" applyAlignment="1" applyProtection="1">
      <alignment horizontal="center" vertical="center"/>
      <protection hidden="1"/>
    </xf>
    <xf numFmtId="49" fontId="0" fillId="10" borderId="0" xfId="0" applyNumberFormat="1" applyFill="1" applyAlignment="1" applyProtection="1">
      <alignment horizontal="center" vertical="center"/>
      <protection hidden="1"/>
    </xf>
    <xf numFmtId="1" fontId="0" fillId="12" borderId="0" xfId="0" applyNumberFormat="1" applyFill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top" indent="3"/>
      <protection hidden="1"/>
    </xf>
    <xf numFmtId="0" fontId="0" fillId="0" borderId="1" xfId="0" applyBorder="1" applyAlignment="1" applyProtection="1">
      <alignment horizontal="left" vertical="top" indent="2"/>
      <protection hidden="1"/>
    </xf>
    <xf numFmtId="0" fontId="0" fillId="0" borderId="1" xfId="0" applyBorder="1" applyAlignment="1" applyProtection="1">
      <alignment horizontal="left" vertical="top" indent="1"/>
      <protection hidden="1"/>
    </xf>
    <xf numFmtId="0" fontId="18" fillId="12" borderId="1" xfId="0" applyFont="1" applyFill="1" applyBorder="1" applyAlignment="1" applyProtection="1">
      <alignment horizontal="left" wrapText="1"/>
      <protection hidden="1"/>
    </xf>
    <xf numFmtId="0" fontId="0" fillId="10" borderId="1" xfId="0" applyFill="1" applyBorder="1" applyAlignment="1" applyProtection="1">
      <alignment horizontal="left" wrapText="1"/>
      <protection hidden="1"/>
    </xf>
    <xf numFmtId="49" fontId="0" fillId="10" borderId="0" xfId="0" applyNumberFormat="1" applyFill="1" applyProtection="1">
      <protection hidden="1"/>
    </xf>
    <xf numFmtId="0" fontId="0" fillId="10" borderId="1" xfId="0" applyFill="1" applyBorder="1" applyAlignment="1" applyProtection="1">
      <alignment horizontal="left" vertical="top" indent="1"/>
      <protection hidden="1"/>
    </xf>
    <xf numFmtId="0" fontId="0" fillId="10" borderId="1" xfId="0" applyFill="1" applyBorder="1" applyAlignment="1" applyProtection="1">
      <alignment horizontal="center" vertical="top"/>
      <protection hidden="1"/>
    </xf>
    <xf numFmtId="49" fontId="0" fillId="10" borderId="1" xfId="0" applyNumberFormat="1" applyFill="1" applyBorder="1" applyAlignment="1" applyProtection="1">
      <alignment horizontal="center" vertical="center"/>
      <protection hidden="1"/>
    </xf>
    <xf numFmtId="49" fontId="0" fillId="12" borderId="0" xfId="0" applyNumberFormat="1" applyFill="1" applyProtection="1">
      <protection hidden="1"/>
    </xf>
    <xf numFmtId="0" fontId="0" fillId="0" borderId="1" xfId="0" applyBorder="1" applyAlignment="1" applyProtection="1">
      <alignment horizontal="left" indent="1"/>
      <protection hidden="1"/>
    </xf>
    <xf numFmtId="0" fontId="0" fillId="12" borderId="1" xfId="0" applyFill="1" applyBorder="1" applyAlignment="1" applyProtection="1">
      <alignment horizontal="left"/>
      <protection hidden="1"/>
    </xf>
    <xf numFmtId="0" fontId="0" fillId="12" borderId="1" xfId="0" applyFill="1" applyBorder="1" applyAlignment="1" applyProtection="1">
      <alignment horizontal="left" wrapText="1"/>
      <protection hidden="1"/>
    </xf>
    <xf numFmtId="0" fontId="18" fillId="12" borderId="1" xfId="0" applyFont="1" applyFill="1" applyBorder="1" applyAlignment="1" applyProtection="1">
      <alignment horizontal="left"/>
      <protection hidden="1"/>
    </xf>
    <xf numFmtId="0" fontId="0" fillId="12" borderId="1" xfId="0" applyFill="1" applyBorder="1" applyAlignment="1" applyProtection="1">
      <alignment horizontal="left" vertical="top" indent="1"/>
      <protection hidden="1"/>
    </xf>
    <xf numFmtId="0" fontId="0" fillId="12" borderId="1" xfId="0" applyFill="1" applyBorder="1" applyAlignment="1" applyProtection="1">
      <alignment horizontal="center" vertical="top"/>
      <protection hidden="1"/>
    </xf>
    <xf numFmtId="0" fontId="0" fillId="12" borderId="1" xfId="0" applyFill="1" applyBorder="1" applyAlignment="1" applyProtection="1">
      <alignment horizontal="center"/>
      <protection hidden="1"/>
    </xf>
    <xf numFmtId="0" fontId="0" fillId="12" borderId="1" xfId="0" applyFill="1" applyBorder="1" applyAlignment="1" applyProtection="1">
      <alignment horizontal="center" vertical="center"/>
      <protection hidden="1"/>
    </xf>
    <xf numFmtId="0" fontId="0" fillId="12" borderId="1" xfId="0" applyFill="1" applyBorder="1" applyAlignment="1" applyProtection="1">
      <alignment horizontal="left" vertical="top" wrapText="1"/>
      <protection hidden="1"/>
    </xf>
    <xf numFmtId="1" fontId="0" fillId="10" borderId="1" xfId="0" applyNumberFormat="1" applyFill="1" applyBorder="1" applyAlignment="1" applyProtection="1">
      <alignment horizontal="center" vertical="center"/>
      <protection hidden="1"/>
    </xf>
    <xf numFmtId="0" fontId="3" fillId="4" borderId="7" xfId="0" applyFont="1" applyFill="1" applyBorder="1" applyProtection="1">
      <protection hidden="1"/>
    </xf>
    <xf numFmtId="0" fontId="3" fillId="4" borderId="9" xfId="0" applyFont="1" applyFill="1" applyBorder="1" applyProtection="1">
      <protection hidden="1"/>
    </xf>
    <xf numFmtId="0" fontId="0" fillId="4" borderId="9" xfId="0" applyFill="1" applyBorder="1" applyProtection="1">
      <protection hidden="1"/>
    </xf>
    <xf numFmtId="0" fontId="0" fillId="4" borderId="8" xfId="0" applyFill="1" applyBorder="1" applyProtection="1">
      <protection hidden="1"/>
    </xf>
    <xf numFmtId="0" fontId="3" fillId="4" borderId="3" xfId="0" applyFont="1" applyFill="1" applyBorder="1" applyAlignment="1" applyProtection="1">
      <alignment horizontal="right"/>
      <protection hidden="1"/>
    </xf>
    <xf numFmtId="0" fontId="3" fillId="4" borderId="0" xfId="0" applyFont="1" applyFill="1" applyBorder="1" applyAlignment="1" applyProtection="1">
      <alignment horizontal="right"/>
      <protection hidden="1"/>
    </xf>
    <xf numFmtId="0" fontId="3" fillId="4" borderId="3" xfId="0" applyFont="1" applyFill="1" applyBorder="1" applyProtection="1">
      <protection hidden="1"/>
    </xf>
    <xf numFmtId="0" fontId="3" fillId="4" borderId="0" xfId="0" applyFont="1" applyFill="1" applyBorder="1" applyProtection="1">
      <protection hidden="1"/>
    </xf>
    <xf numFmtId="0" fontId="3" fillId="4" borderId="5" xfId="0" applyFont="1" applyFill="1" applyBorder="1" applyProtection="1">
      <protection hidden="1"/>
    </xf>
    <xf numFmtId="0" fontId="3" fillId="4" borderId="2" xfId="0" applyFont="1" applyFill="1" applyBorder="1" applyProtection="1">
      <protection hidden="1"/>
    </xf>
    <xf numFmtId="0" fontId="0" fillId="4" borderId="2" xfId="0" applyFill="1" applyBorder="1" applyProtection="1">
      <protection hidden="1"/>
    </xf>
    <xf numFmtId="0" fontId="0" fillId="4" borderId="6" xfId="0" applyFill="1" applyBorder="1" applyProtection="1">
      <protection hidden="1"/>
    </xf>
    <xf numFmtId="0" fontId="9" fillId="3" borderId="13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9" fillId="3" borderId="15" xfId="0" applyFont="1" applyFill="1" applyBorder="1" applyAlignment="1">
      <alignment horizontal="left" vertical="top" wrapText="1"/>
    </xf>
    <xf numFmtId="0" fontId="9" fillId="3" borderId="16" xfId="0" applyFont="1" applyFill="1" applyBorder="1" applyAlignment="1">
      <alignment horizontal="left" vertical="top" wrapText="1"/>
    </xf>
    <xf numFmtId="0" fontId="9" fillId="3" borderId="17" xfId="0" applyFont="1" applyFill="1" applyBorder="1" applyAlignment="1">
      <alignment horizontal="left" vertical="top" wrapText="1"/>
    </xf>
    <xf numFmtId="0" fontId="9" fillId="3" borderId="1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2" fillId="4" borderId="0" xfId="0" applyFont="1" applyFill="1" applyBorder="1" applyAlignment="1" applyProtection="1">
      <alignment horizontal="center"/>
      <protection hidden="1"/>
    </xf>
    <xf numFmtId="0" fontId="2" fillId="4" borderId="4" xfId="0" applyFont="1" applyFill="1" applyBorder="1" applyAlignment="1" applyProtection="1">
      <alignment horizontal="center"/>
      <protection hidden="1"/>
    </xf>
    <xf numFmtId="43" fontId="3" fillId="4" borderId="0" xfId="1" applyFont="1" applyFill="1" applyBorder="1" applyAlignment="1" applyProtection="1">
      <alignment horizontal="center" vertical="center"/>
      <protection hidden="1"/>
    </xf>
    <xf numFmtId="0" fontId="19" fillId="3" borderId="13" xfId="0" applyFont="1" applyFill="1" applyBorder="1" applyAlignment="1">
      <alignment horizontal="right"/>
    </xf>
    <xf numFmtId="0" fontId="19" fillId="3" borderId="0" xfId="0" applyFont="1" applyFill="1" applyBorder="1" applyAlignment="1">
      <alignment horizontal="right"/>
    </xf>
    <xf numFmtId="0" fontId="19" fillId="2" borderId="13" xfId="0" applyFont="1" applyFill="1" applyBorder="1" applyAlignment="1">
      <alignment horizontal="right"/>
    </xf>
    <xf numFmtId="0" fontId="19" fillId="2" borderId="0" xfId="0" applyFont="1" applyFill="1" applyBorder="1" applyAlignment="1">
      <alignment horizontal="right"/>
    </xf>
    <xf numFmtId="0" fontId="3" fillId="4" borderId="3" xfId="0" applyFont="1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/>
      <protection hidden="1"/>
    </xf>
    <xf numFmtId="0" fontId="7" fillId="4" borderId="3" xfId="0" applyFont="1" applyFill="1" applyBorder="1" applyAlignment="1" applyProtection="1">
      <alignment horizontal="right"/>
      <protection hidden="1"/>
    </xf>
    <xf numFmtId="0" fontId="7" fillId="4" borderId="0" xfId="0" applyFont="1" applyFill="1" applyBorder="1" applyAlignment="1" applyProtection="1">
      <alignment horizontal="right"/>
      <protection hidden="1"/>
    </xf>
    <xf numFmtId="4" fontId="16" fillId="0" borderId="28" xfId="0" applyNumberFormat="1" applyFont="1" applyFill="1" applyBorder="1" applyAlignment="1" applyProtection="1">
      <alignment horizontal="center"/>
      <protection hidden="1"/>
    </xf>
    <xf numFmtId="4" fontId="16" fillId="0" borderId="29" xfId="0" applyNumberFormat="1" applyFont="1" applyFill="1" applyBorder="1" applyAlignment="1" applyProtection="1">
      <alignment horizontal="center"/>
      <protection hidden="1"/>
    </xf>
    <xf numFmtId="4" fontId="16" fillId="0" borderId="25" xfId="0" applyNumberFormat="1" applyFont="1" applyFill="1" applyBorder="1" applyAlignment="1" applyProtection="1">
      <alignment horizontal="center"/>
      <protection hidden="1"/>
    </xf>
    <xf numFmtId="4" fontId="16" fillId="0" borderId="26" xfId="0" applyNumberFormat="1" applyFont="1" applyFill="1" applyBorder="1" applyAlignment="1" applyProtection="1">
      <alignment horizontal="center"/>
      <protection hidden="1"/>
    </xf>
    <xf numFmtId="4" fontId="3" fillId="4" borderId="0" xfId="0" applyNumberFormat="1" applyFont="1" applyFill="1" applyBorder="1" applyAlignment="1" applyProtection="1">
      <alignment horizontal="center"/>
      <protection hidden="1"/>
    </xf>
    <xf numFmtId="0" fontId="13" fillId="4" borderId="25" xfId="0" applyFont="1" applyFill="1" applyBorder="1" applyAlignment="1" applyProtection="1">
      <alignment horizontal="center"/>
      <protection hidden="1"/>
    </xf>
    <xf numFmtId="0" fontId="13" fillId="4" borderId="27" xfId="0" applyFont="1" applyFill="1" applyBorder="1" applyAlignment="1" applyProtection="1">
      <alignment horizontal="center"/>
      <protection hidden="1"/>
    </xf>
    <xf numFmtId="0" fontId="13" fillId="4" borderId="26" xfId="0" applyFont="1" applyFill="1" applyBorder="1" applyAlignment="1" applyProtection="1">
      <alignment horizontal="center"/>
      <protection hidden="1"/>
    </xf>
    <xf numFmtId="0" fontId="17" fillId="3" borderId="12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right"/>
    </xf>
    <xf numFmtId="0" fontId="1" fillId="12" borderId="0" xfId="0" applyFont="1" applyFill="1" applyAlignment="1" applyProtection="1">
      <alignment horizontal="center" vertical="center" wrapText="1"/>
      <protection hidden="1"/>
    </xf>
    <xf numFmtId="0" fontId="20" fillId="12" borderId="0" xfId="0" applyFont="1" applyFill="1" applyAlignment="1" applyProtection="1">
      <alignment horizontal="center" vertical="center" wrapText="1"/>
      <protection hidden="1"/>
    </xf>
    <xf numFmtId="0" fontId="1" fillId="12" borderId="22" xfId="0" applyFont="1" applyFill="1" applyBorder="1" applyAlignment="1" applyProtection="1">
      <alignment horizontal="center" vertical="center"/>
      <protection hidden="1"/>
    </xf>
    <xf numFmtId="0" fontId="1" fillId="12" borderId="23" xfId="0" applyFont="1" applyFill="1" applyBorder="1" applyAlignment="1" applyProtection="1">
      <alignment horizontal="center" vertical="center"/>
      <protection hidden="1"/>
    </xf>
    <xf numFmtId="0" fontId="1" fillId="12" borderId="24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11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Кнопка">
  <a:themeElements>
    <a:clrScheme name="Кнопка">
      <a:dk1>
        <a:sysClr val="windowText" lastClr="000000"/>
      </a:dk1>
      <a:lt1>
        <a:sysClr val="window" lastClr="FFFFFF"/>
      </a:lt1>
      <a:dk2>
        <a:srgbClr val="465E9C"/>
      </a:dk2>
      <a:lt2>
        <a:srgbClr val="CCDDEA"/>
      </a:lt2>
      <a:accent1>
        <a:srgbClr val="FDA023"/>
      </a:accent1>
      <a:accent2>
        <a:srgbClr val="AA2B1E"/>
      </a:accent2>
      <a:accent3>
        <a:srgbClr val="71685C"/>
      </a:accent3>
      <a:accent4>
        <a:srgbClr val="64A73B"/>
      </a:accent4>
      <a:accent5>
        <a:srgbClr val="EB5605"/>
      </a:accent5>
      <a:accent6>
        <a:srgbClr val="B9CA1A"/>
      </a:accent6>
      <a:hlink>
        <a:srgbClr val="D83E2C"/>
      </a:hlink>
      <a:folHlink>
        <a:srgbClr val="ED7D27"/>
      </a:folHlink>
    </a:clrScheme>
    <a:fontScheme name="Кнопка">
      <a:majorFont>
        <a:latin typeface="Constantia"/>
        <a:ea typeface=""/>
        <a:cs typeface=""/>
        <a:font script="Jpan" typeface="HGS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Grek" typeface="Arial"/>
        <a:font script="Cyrl" typeface="Arial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Кнопк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  <a:lumMod val="100000"/>
              </a:schemeClr>
            </a:gs>
            <a:gs pos="40000">
              <a:schemeClr val="phClr">
                <a:tint val="60000"/>
                <a:satMod val="130000"/>
                <a:lumMod val="100000"/>
              </a:schemeClr>
            </a:gs>
            <a:gs pos="100000">
              <a:schemeClr val="phClr">
                <a:tint val="96000"/>
                <a:lumMod val="108000"/>
              </a:schemeClr>
            </a:gs>
          </a:gsLst>
          <a:lin ang="5400000" scaled="0"/>
        </a:gradFill>
        <a:gradFill rotWithShape="1">
          <a:gsLst>
            <a:gs pos="0">
              <a:schemeClr val="phClr"/>
            </a:gs>
            <a:gs pos="100000">
              <a:schemeClr val="phClr">
                <a:shade val="76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>
              <a:shade val="80000"/>
              <a:lumMod val="9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38100" dir="4800000" sx="98000" sy="98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38100" dist="38100" dir="4800000" sx="96000" sy="96000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3240000"/>
            </a:lightRig>
          </a:scene3d>
          <a:sp3d>
            <a:bevelT w="28575" h="28575"/>
          </a:sp3d>
        </a:effectStyle>
      </a:effectStyleLst>
      <a:bgFillStyleLst>
        <a:solidFill>
          <a:schemeClr val="phClr">
            <a:tint val="93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shade val="80000"/>
                <a:satMod val="140000"/>
                <a:lumMod val="50000"/>
              </a:schemeClr>
              <a:schemeClr val="phClr">
                <a:tint val="95000"/>
                <a:satMod val="180000"/>
                <a:lumMod val="160000"/>
              </a:schemeClr>
            </a:duotone>
          </a:blip>
          <a:stretch/>
        </a:blipFill>
        <a:blipFill rotWithShape="1">
          <a:blip xmlns:r="http://schemas.openxmlformats.org/officeDocument/2006/relationships" r:embed="rId2">
            <a:duotone>
              <a:schemeClr val="phClr">
                <a:tint val="98000"/>
                <a:shade val="90000"/>
                <a:satMod val="120000"/>
                <a:lumMod val="54000"/>
              </a:schemeClr>
              <a:schemeClr val="phClr">
                <a:tint val="80000"/>
                <a:satMod val="160000"/>
                <a:lumMod val="14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abSelected="1" zoomScale="115" zoomScaleNormal="115" workbookViewId="0">
      <selection activeCell="M25" sqref="M25"/>
    </sheetView>
  </sheetViews>
  <sheetFormatPr defaultRowHeight="14.25"/>
  <cols>
    <col min="1" max="1" width="9" customWidth="1"/>
    <col min="5" max="5" width="4.875" customWidth="1"/>
    <col min="6" max="6" width="49.25" customWidth="1"/>
    <col min="7" max="7" width="7.375" customWidth="1"/>
    <col min="8" max="8" width="4" customWidth="1"/>
    <col min="9" max="13" width="11.5" customWidth="1"/>
    <col min="14" max="14" width="10.875" bestFit="1" customWidth="1"/>
    <col min="17" max="17" width="14.5" customWidth="1"/>
    <col min="19" max="19" width="18.25" customWidth="1"/>
    <col min="20" max="20" width="11" customWidth="1"/>
    <col min="21" max="22" width="9" customWidth="1"/>
    <col min="23" max="23" width="14.375" style="6" customWidth="1"/>
    <col min="24" max="24" width="16.625" customWidth="1"/>
    <col min="25" max="26" width="9" customWidth="1"/>
  </cols>
  <sheetData>
    <row r="1" spans="1:17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18"/>
    </row>
    <row r="2" spans="1:17" ht="18.75" thickBot="1">
      <c r="A2" s="168" t="s">
        <v>32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70"/>
    </row>
    <row r="3" spans="1:17" ht="15" thickTop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18"/>
    </row>
    <row r="4" spans="1:17" ht="15.75" thickBot="1">
      <c r="A4" s="171" t="s">
        <v>17</v>
      </c>
      <c r="B4" s="172"/>
      <c r="C4" s="172"/>
      <c r="D4" s="172"/>
      <c r="E4" s="172"/>
      <c r="F4" s="172"/>
      <c r="G4" s="172"/>
      <c r="H4" s="9"/>
      <c r="I4" s="8"/>
      <c r="J4" s="8"/>
      <c r="K4" s="8"/>
      <c r="L4" s="8"/>
      <c r="M4" s="8"/>
      <c r="N4" s="8"/>
      <c r="O4" s="8"/>
      <c r="P4" s="8"/>
      <c r="Q4" s="18"/>
    </row>
    <row r="5" spans="1:17" ht="15" thickBo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8"/>
    </row>
    <row r="6" spans="1:17" ht="16.5" thickBot="1">
      <c r="A6" s="173" t="s">
        <v>0</v>
      </c>
      <c r="B6" s="143"/>
      <c r="C6" s="143"/>
      <c r="D6" s="143"/>
      <c r="E6" s="143"/>
      <c r="F6" s="26"/>
      <c r="G6" s="10" t="s">
        <v>4</v>
      </c>
      <c r="H6" s="11"/>
      <c r="I6" s="11"/>
      <c r="J6" s="11"/>
      <c r="K6" s="11"/>
      <c r="L6" s="12"/>
      <c r="M6" s="11"/>
      <c r="N6" s="11"/>
      <c r="O6" s="8"/>
      <c r="P6" s="8"/>
      <c r="Q6" s="18"/>
    </row>
    <row r="7" spans="1:17" ht="16.5" thickBot="1">
      <c r="A7" s="13"/>
      <c r="B7" s="14"/>
      <c r="C7" s="14"/>
      <c r="D7" s="14"/>
      <c r="E7" s="14"/>
      <c r="F7" s="179"/>
      <c r="G7" s="15"/>
      <c r="H7" s="11"/>
      <c r="I7" s="11"/>
      <c r="J7" s="11"/>
      <c r="K7" s="11"/>
      <c r="L7" s="12"/>
      <c r="M7" s="11"/>
      <c r="N7" s="11"/>
      <c r="O7" s="8"/>
      <c r="P7" s="8"/>
      <c r="Q7" s="18"/>
    </row>
    <row r="8" spans="1:17" ht="16.5" thickBot="1">
      <c r="A8" s="173" t="s">
        <v>12</v>
      </c>
      <c r="B8" s="143"/>
      <c r="C8" s="143"/>
      <c r="D8" s="143"/>
      <c r="E8" s="143"/>
      <c r="F8" s="26"/>
      <c r="G8" s="10" t="s">
        <v>6</v>
      </c>
      <c r="H8" s="11"/>
      <c r="I8" s="11"/>
      <c r="J8" s="11"/>
      <c r="K8" s="11"/>
      <c r="L8" s="11"/>
      <c r="M8" s="11"/>
      <c r="N8" s="11"/>
      <c r="O8" s="8"/>
      <c r="P8" s="8"/>
      <c r="Q8" s="18"/>
    </row>
    <row r="9" spans="1:17" ht="16.5" thickBot="1">
      <c r="A9" s="13"/>
      <c r="B9" s="14"/>
      <c r="C9" s="14"/>
      <c r="D9" s="14"/>
      <c r="E9" s="14"/>
      <c r="F9" s="179"/>
      <c r="G9" s="15"/>
      <c r="H9" s="11"/>
      <c r="I9" s="11"/>
      <c r="J9" s="11"/>
      <c r="K9" s="11"/>
      <c r="L9" s="11"/>
      <c r="M9" s="11"/>
      <c r="N9" s="11"/>
      <c r="O9" s="8"/>
      <c r="P9" s="8"/>
      <c r="Q9" s="18"/>
    </row>
    <row r="10" spans="1:17" ht="16.5" thickBot="1">
      <c r="A10" s="173" t="s">
        <v>13</v>
      </c>
      <c r="B10" s="143"/>
      <c r="C10" s="143"/>
      <c r="D10" s="143"/>
      <c r="E10" s="143"/>
      <c r="F10" s="26"/>
      <c r="G10" s="10" t="s">
        <v>5</v>
      </c>
      <c r="H10" s="11"/>
      <c r="I10" s="11"/>
      <c r="J10" s="11"/>
      <c r="K10" s="11"/>
      <c r="L10" s="11"/>
      <c r="M10" s="11"/>
      <c r="N10" s="11"/>
      <c r="O10" s="8"/>
      <c r="P10" s="8"/>
      <c r="Q10" s="18"/>
    </row>
    <row r="11" spans="1:17" ht="21" thickBot="1">
      <c r="A11" s="16"/>
      <c r="B11" s="11"/>
      <c r="C11" s="11"/>
      <c r="D11" s="11"/>
      <c r="E11" s="11"/>
      <c r="F11" s="179"/>
      <c r="G11" s="11"/>
      <c r="H11" s="11"/>
      <c r="I11" s="165" t="s">
        <v>18</v>
      </c>
      <c r="J11" s="166"/>
      <c r="K11" s="166"/>
      <c r="L11" s="166"/>
      <c r="M11" s="166"/>
      <c r="N11" s="166"/>
      <c r="O11" s="166"/>
      <c r="P11" s="166"/>
      <c r="Q11" s="167"/>
    </row>
    <row r="12" spans="1:17" ht="16.5" thickBot="1">
      <c r="A12" s="153" t="s">
        <v>14</v>
      </c>
      <c r="B12" s="154"/>
      <c r="C12" s="154"/>
      <c r="D12" s="154"/>
      <c r="E12" s="154"/>
      <c r="F12" s="179"/>
      <c r="G12" s="11"/>
      <c r="H12" s="11"/>
      <c r="I12" s="123"/>
      <c r="J12" s="124"/>
      <c r="K12" s="124"/>
      <c r="L12" s="124"/>
      <c r="M12" s="124"/>
      <c r="N12" s="124"/>
      <c r="O12" s="125"/>
      <c r="P12" s="125"/>
      <c r="Q12" s="126"/>
    </row>
    <row r="13" spans="1:17" ht="19.5" thickBot="1">
      <c r="A13" s="16"/>
      <c r="B13" s="11"/>
      <c r="C13" s="11"/>
      <c r="D13" s="11"/>
      <c r="E13" s="11"/>
      <c r="F13" s="179"/>
      <c r="G13" s="11"/>
      <c r="H13" s="11"/>
      <c r="I13" s="158" t="s">
        <v>19</v>
      </c>
      <c r="J13" s="159"/>
      <c r="K13" s="159"/>
      <c r="L13" s="159"/>
      <c r="M13" s="159"/>
      <c r="N13" s="160">
        <f>IF(F8="I",ДОП!A18,IF(F8="II",ДОП!A17,ДОП!A16))</f>
        <v>0</v>
      </c>
      <c r="O13" s="161"/>
      <c r="P13" s="148" t="s">
        <v>21</v>
      </c>
      <c r="Q13" s="149"/>
    </row>
    <row r="14" spans="1:17" ht="16.5" thickBot="1">
      <c r="A14" s="16"/>
      <c r="B14" s="11"/>
      <c r="C14" s="143" t="s">
        <v>567</v>
      </c>
      <c r="D14" s="143"/>
      <c r="E14" s="143"/>
      <c r="F14" s="26"/>
      <c r="G14" s="10" t="s">
        <v>3</v>
      </c>
      <c r="H14" s="11"/>
      <c r="I14" s="127"/>
      <c r="J14" s="128"/>
      <c r="K14" s="128"/>
      <c r="L14" s="128"/>
      <c r="M14" s="128"/>
      <c r="N14" s="164">
        <f>N13*1.18</f>
        <v>0</v>
      </c>
      <c r="O14" s="164"/>
      <c r="P14" s="148" t="s">
        <v>222</v>
      </c>
      <c r="Q14" s="149"/>
    </row>
    <row r="15" spans="1:17" ht="19.5" thickBot="1">
      <c r="A15" s="16"/>
      <c r="B15" s="11"/>
      <c r="C15" s="11"/>
      <c r="D15" s="11"/>
      <c r="E15" s="11"/>
      <c r="F15" s="179"/>
      <c r="G15" s="15"/>
      <c r="H15" s="11"/>
      <c r="I15" s="158" t="s">
        <v>20</v>
      </c>
      <c r="J15" s="159"/>
      <c r="K15" s="159"/>
      <c r="L15" s="159"/>
      <c r="M15" s="159"/>
      <c r="N15" s="162">
        <f>IF(F8="I",ДОП!C18,IF(F8="II",ДОП!C17,ДОП!C16))</f>
        <v>0</v>
      </c>
      <c r="O15" s="163"/>
      <c r="P15" s="148" t="s">
        <v>21</v>
      </c>
      <c r="Q15" s="149"/>
    </row>
    <row r="16" spans="1:17" ht="16.5" thickBot="1">
      <c r="A16" s="16"/>
      <c r="B16" s="11"/>
      <c r="C16" s="144"/>
      <c r="D16" s="144"/>
      <c r="E16" s="144"/>
      <c r="F16" s="179"/>
      <c r="G16" s="15"/>
      <c r="H16" s="11"/>
      <c r="I16" s="129"/>
      <c r="J16" s="130"/>
      <c r="K16" s="130"/>
      <c r="L16" s="130"/>
      <c r="M16" s="130"/>
      <c r="N16" s="150">
        <f>N15*1.18</f>
        <v>0</v>
      </c>
      <c r="O16" s="150"/>
      <c r="P16" s="148" t="s">
        <v>222</v>
      </c>
      <c r="Q16" s="149"/>
    </row>
    <row r="17" spans="1:18" ht="16.5" thickBot="1">
      <c r="A17" s="16"/>
      <c r="B17" s="11"/>
      <c r="C17" s="141" t="s">
        <v>212</v>
      </c>
      <c r="D17" s="141"/>
      <c r="E17" s="142"/>
      <c r="F17" s="180"/>
      <c r="G17" s="15"/>
      <c r="H17" s="11"/>
      <c r="I17" s="155" t="s">
        <v>592</v>
      </c>
      <c r="J17" s="156"/>
      <c r="K17" s="156"/>
      <c r="L17" s="156"/>
      <c r="M17" s="156"/>
      <c r="N17" s="156"/>
      <c r="O17" s="156"/>
      <c r="P17" s="156"/>
      <c r="Q17" s="157"/>
    </row>
    <row r="18" spans="1:18" ht="16.5" thickBot="1">
      <c r="A18" s="151"/>
      <c r="B18" s="152"/>
      <c r="C18" s="152"/>
      <c r="D18" s="152"/>
      <c r="E18" s="152"/>
      <c r="F18" s="179"/>
      <c r="G18" s="15"/>
      <c r="H18" s="11"/>
      <c r="I18" s="131"/>
      <c r="J18" s="132"/>
      <c r="K18" s="132"/>
      <c r="L18" s="132"/>
      <c r="M18" s="132"/>
      <c r="N18" s="132"/>
      <c r="O18" s="133"/>
      <c r="P18" s="133"/>
      <c r="Q18" s="134"/>
    </row>
    <row r="19" spans="1:18" ht="15.75">
      <c r="A19" s="153" t="s">
        <v>15</v>
      </c>
      <c r="B19" s="154"/>
      <c r="C19" s="154"/>
      <c r="D19" s="154"/>
      <c r="E19" s="154"/>
      <c r="F19" s="179"/>
      <c r="G19" s="15"/>
      <c r="H19" s="11"/>
      <c r="I19" s="11"/>
      <c r="J19" s="11"/>
      <c r="K19" s="11"/>
      <c r="L19" s="11"/>
      <c r="M19" s="11"/>
      <c r="N19" s="11"/>
      <c r="O19" s="8"/>
      <c r="P19" s="8"/>
      <c r="Q19" s="18"/>
    </row>
    <row r="20" spans="1:18" ht="16.5" thickBot="1">
      <c r="A20" s="151"/>
      <c r="B20" s="152"/>
      <c r="C20" s="152"/>
      <c r="D20" s="152"/>
      <c r="E20" s="152"/>
      <c r="F20" s="179"/>
      <c r="G20" s="15"/>
      <c r="H20" s="11"/>
      <c r="I20" s="11"/>
      <c r="J20" s="11"/>
      <c r="K20" s="11"/>
      <c r="L20" s="11"/>
      <c r="M20" s="11"/>
      <c r="N20" s="11"/>
      <c r="O20" s="8"/>
      <c r="P20" s="8"/>
      <c r="Q20" s="18"/>
    </row>
    <row r="21" spans="1:18" ht="16.5" thickBot="1">
      <c r="A21" s="16"/>
      <c r="B21" s="11"/>
      <c r="C21" s="143" t="s">
        <v>567</v>
      </c>
      <c r="D21" s="143"/>
      <c r="E21" s="143"/>
      <c r="F21" s="26"/>
      <c r="G21" s="10" t="s">
        <v>3</v>
      </c>
      <c r="H21" s="11"/>
      <c r="I21" s="11"/>
      <c r="J21" s="11"/>
      <c r="K21" s="11"/>
      <c r="L21" s="11"/>
      <c r="M21" s="11"/>
      <c r="N21" s="11"/>
      <c r="O21" s="8"/>
      <c r="P21" s="8"/>
      <c r="Q21" s="18"/>
    </row>
    <row r="22" spans="1:18" ht="15.75">
      <c r="A22" s="16"/>
      <c r="B22" s="11"/>
      <c r="C22" s="11"/>
      <c r="D22" s="11"/>
      <c r="E22" s="11"/>
      <c r="F22" s="179"/>
      <c r="G22" s="15"/>
      <c r="H22" s="11"/>
      <c r="I22" s="11"/>
      <c r="J22" s="11"/>
      <c r="K22" s="11"/>
      <c r="L22" s="11"/>
      <c r="M22" s="11"/>
      <c r="N22" s="11"/>
      <c r="O22" s="8"/>
      <c r="P22" s="8"/>
      <c r="Q22" s="18"/>
    </row>
    <row r="23" spans="1:18" ht="16.5" thickBot="1">
      <c r="A23" s="16"/>
      <c r="B23" s="11"/>
      <c r="C23" s="144"/>
      <c r="D23" s="144"/>
      <c r="E23" s="144"/>
      <c r="F23" s="179"/>
      <c r="G23" s="15"/>
      <c r="H23" s="11"/>
      <c r="I23" s="11"/>
      <c r="J23" s="11"/>
      <c r="K23" s="11"/>
      <c r="L23" s="11"/>
      <c r="M23" s="11"/>
      <c r="N23" s="11"/>
      <c r="O23" s="8"/>
      <c r="P23" s="8"/>
      <c r="Q23" s="18"/>
    </row>
    <row r="24" spans="1:18" ht="16.5" thickBot="1">
      <c r="A24" s="16"/>
      <c r="B24" s="11"/>
      <c r="C24" s="141" t="s">
        <v>213</v>
      </c>
      <c r="D24" s="141"/>
      <c r="E24" s="142"/>
      <c r="F24" s="180"/>
      <c r="G24" s="11"/>
      <c r="H24" s="11"/>
      <c r="I24" s="11"/>
      <c r="J24" s="11"/>
      <c r="K24" s="11"/>
      <c r="L24" s="11"/>
      <c r="M24" s="11"/>
      <c r="N24" s="11"/>
      <c r="O24" s="8"/>
      <c r="P24" s="8"/>
      <c r="Q24" s="18"/>
    </row>
    <row r="25" spans="1:18" ht="63" customHeight="1" thickBot="1">
      <c r="A25" s="145" t="s">
        <v>7</v>
      </c>
      <c r="B25" s="146"/>
      <c r="C25" s="146"/>
      <c r="D25" s="146"/>
      <c r="E25" s="147"/>
      <c r="F25" s="181"/>
      <c r="G25" s="17" t="s">
        <v>16</v>
      </c>
      <c r="H25" s="11"/>
      <c r="I25" s="11"/>
      <c r="J25" s="11"/>
      <c r="K25" s="11"/>
      <c r="L25" s="11"/>
      <c r="M25" s="11"/>
      <c r="N25" s="11"/>
      <c r="O25" s="8"/>
      <c r="P25" s="8"/>
      <c r="Q25" s="18"/>
    </row>
    <row r="26" spans="1:18" ht="15.75">
      <c r="A26" s="16"/>
      <c r="B26" s="11"/>
      <c r="C26" s="14"/>
      <c r="D26" s="14"/>
      <c r="E26" s="14"/>
      <c r="F26" s="11"/>
      <c r="G26" s="11"/>
      <c r="H26" s="11"/>
      <c r="I26" s="11"/>
      <c r="J26" s="11"/>
      <c r="K26" s="11"/>
      <c r="L26" s="11"/>
      <c r="M26" s="11"/>
      <c r="N26" s="11"/>
      <c r="O26" s="8"/>
      <c r="P26" s="8"/>
      <c r="Q26" s="18"/>
    </row>
    <row r="27" spans="1:18" ht="6.75" customHeight="1">
      <c r="A27" s="16"/>
      <c r="B27" s="11"/>
      <c r="C27" s="14"/>
      <c r="D27" s="14"/>
      <c r="E27" s="14"/>
      <c r="F27" s="11"/>
      <c r="G27" s="11"/>
      <c r="H27" s="11"/>
      <c r="I27" s="11"/>
      <c r="J27" s="11"/>
      <c r="K27" s="11"/>
      <c r="L27" s="11"/>
      <c r="M27" s="11"/>
      <c r="N27" s="11"/>
      <c r="O27" s="8"/>
      <c r="P27" s="8"/>
      <c r="Q27" s="18"/>
    </row>
    <row r="28" spans="1:18" ht="36" customHeight="1">
      <c r="A28" s="135" t="s">
        <v>1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7"/>
      <c r="R28" s="3"/>
    </row>
    <row r="29" spans="1:18" ht="10.5" customHeight="1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/>
      <c r="P29" s="21"/>
      <c r="Q29" s="22"/>
    </row>
    <row r="30" spans="1:18" ht="36.75" customHeight="1">
      <c r="A30" s="135" t="s">
        <v>590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7"/>
      <c r="R30" s="4"/>
    </row>
    <row r="31" spans="1:18" s="1" customFormat="1" ht="72.75" customHeight="1">
      <c r="A31" s="135" t="s">
        <v>2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7"/>
      <c r="R31" s="4"/>
    </row>
    <row r="32" spans="1:18" s="1" customFormat="1" ht="6.75" customHeight="1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5"/>
      <c r="R32" s="5"/>
    </row>
    <row r="33" spans="1:18" s="1" customFormat="1" ht="55.5" customHeight="1">
      <c r="A33" s="138" t="s">
        <v>22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40"/>
      <c r="R33" s="4"/>
    </row>
    <row r="34" spans="1:18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</sheetData>
  <sheetProtection algorithmName="SHA-512" hashValue="Xb0DOdRuJEw1jqOSxsqbOJeDBRL/lqTSJ5ttdj2cYQW2q5VhBZwnGdlcVBbAJe3BSFZM2DNlW8e9kT4NrpTUdA==" saltValue="wTmPnbEDtHRU+u1oprzD9g==" spinCount="100000" sheet="1" formatCells="0" sort="0" autoFilter="0" pivotTables="0"/>
  <mergeCells count="32">
    <mergeCell ref="I11:Q11"/>
    <mergeCell ref="A2:Q2"/>
    <mergeCell ref="A4:G4"/>
    <mergeCell ref="A6:E6"/>
    <mergeCell ref="A8:E8"/>
    <mergeCell ref="A10:E10"/>
    <mergeCell ref="I15:M15"/>
    <mergeCell ref="N15:O15"/>
    <mergeCell ref="P15:Q15"/>
    <mergeCell ref="P14:Q14"/>
    <mergeCell ref="N14:O14"/>
    <mergeCell ref="A12:E12"/>
    <mergeCell ref="I13:M13"/>
    <mergeCell ref="N13:O13"/>
    <mergeCell ref="P13:Q13"/>
    <mergeCell ref="C14:E14"/>
    <mergeCell ref="C21:E21"/>
    <mergeCell ref="C23:E23"/>
    <mergeCell ref="A25:E25"/>
    <mergeCell ref="P16:Q16"/>
    <mergeCell ref="N16:O16"/>
    <mergeCell ref="C17:E17"/>
    <mergeCell ref="A20:E20"/>
    <mergeCell ref="A19:E19"/>
    <mergeCell ref="C16:E16"/>
    <mergeCell ref="I17:Q17"/>
    <mergeCell ref="A18:E18"/>
    <mergeCell ref="A28:Q28"/>
    <mergeCell ref="A30:Q30"/>
    <mergeCell ref="A31:Q31"/>
    <mergeCell ref="A33:Q33"/>
    <mergeCell ref="C24:E24"/>
  </mergeCells>
  <dataValidations count="1">
    <dataValidation allowBlank="1" showInputMessage="1" showErrorMessage="1" prompt="Введите значение" sqref="F10 F14:F16 F21:F23"/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="Только из списка" prompt="Выберите из списка">
          <x14:formula1>
            <xm:f>ДОП!$E$85:$E$98</xm:f>
          </x14:formula1>
          <xm:sqref>F25</xm:sqref>
        </x14:dataValidation>
        <x14:dataValidation type="list" allowBlank="1" showInputMessage="1" showErrorMessage="1" error="только из списка" prompt="Выберите из списка">
          <x14:formula1>
            <xm:f>ДОП!$A$5:$A$7</xm:f>
          </x14:formula1>
          <xm:sqref>F8</xm:sqref>
        </x14:dataValidation>
        <x14:dataValidation type="list" allowBlank="1" showInputMessage="1" showErrorMessage="1" errorTitle="Ошибка" error="Только из списка" prompt="Выберите из списка">
          <x14:formula1>
            <xm:f>ДОП!$A$2:$A$3</xm:f>
          </x14:formula1>
          <xm:sqref>F6</xm:sqref>
        </x14:dataValidation>
        <x14:dataValidation type="list" allowBlank="1" showInputMessage="1" showErrorMessage="1">
          <x14:formula1>
            <xm:f>ДОП!$A$38:$A$58</xm:f>
          </x14:formula1>
          <xm:sqref>F17</xm:sqref>
        </x14:dataValidation>
        <x14:dataValidation type="list" allowBlank="1" showInputMessage="1" showErrorMessage="1">
          <x14:formula1>
            <xm:f>ДОП!$A$61:$A$82</xm:f>
          </x14:formula1>
          <xm:sqref>F24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46"/>
  <sheetViews>
    <sheetView topLeftCell="BB1" workbookViewId="0">
      <selection activeCell="BD12" sqref="BD12"/>
    </sheetView>
  </sheetViews>
  <sheetFormatPr defaultColWidth="10.625" defaultRowHeight="14.25"/>
  <cols>
    <col min="1" max="44" width="0.125" style="28" hidden="1" customWidth="1"/>
    <col min="45" max="53" width="10.625" style="28" hidden="1" customWidth="1"/>
    <col min="54" max="16384" width="10.625" style="28"/>
  </cols>
  <sheetData>
    <row r="1" spans="1:47">
      <c r="A1" s="27"/>
    </row>
    <row r="2" spans="1:47">
      <c r="A2" s="27" t="s">
        <v>41</v>
      </c>
    </row>
    <row r="3" spans="1:47">
      <c r="A3" s="27" t="s">
        <v>42</v>
      </c>
    </row>
    <row r="5" spans="1:47" ht="15" thickBot="1">
      <c r="A5" s="29" t="s">
        <v>9</v>
      </c>
      <c r="B5" s="30"/>
      <c r="C5" s="30"/>
      <c r="D5" s="30" t="s">
        <v>35</v>
      </c>
      <c r="E5" s="31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1"/>
      <c r="AG5" s="31"/>
      <c r="AH5" s="31"/>
      <c r="AI5" s="32">
        <v>0.4</v>
      </c>
    </row>
    <row r="6" spans="1:47" ht="14.25" customHeight="1">
      <c r="A6" s="29" t="s">
        <v>10</v>
      </c>
      <c r="B6" s="30"/>
      <c r="C6" s="30"/>
      <c r="D6" s="33" t="s">
        <v>26</v>
      </c>
      <c r="E6" s="34" t="s">
        <v>23</v>
      </c>
      <c r="F6" s="35">
        <v>4.05</v>
      </c>
      <c r="G6" s="30"/>
      <c r="H6" s="176" t="s">
        <v>591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1">
        <f t="shared" ref="AF6:AF11" si="0">AH6*AG6</f>
        <v>222.5</v>
      </c>
      <c r="AG6" s="36">
        <v>0.89</v>
      </c>
      <c r="AH6" s="37">
        <v>250</v>
      </c>
      <c r="AI6" s="32" t="s">
        <v>8</v>
      </c>
    </row>
    <row r="7" spans="1:47" ht="14.25" customHeight="1">
      <c r="A7" s="29" t="s">
        <v>11</v>
      </c>
      <c r="B7" s="30"/>
      <c r="C7" s="30"/>
      <c r="D7" s="38"/>
      <c r="E7" s="34" t="s">
        <v>24</v>
      </c>
      <c r="F7" s="39">
        <v>4.76</v>
      </c>
      <c r="G7" s="30"/>
      <c r="H7" s="177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1">
        <f t="shared" si="0"/>
        <v>356</v>
      </c>
      <c r="AG7" s="36">
        <v>0.89</v>
      </c>
      <c r="AH7" s="37">
        <v>400</v>
      </c>
      <c r="AI7" s="31"/>
    </row>
    <row r="8" spans="1:47" ht="14.25" customHeight="1" thickBot="1">
      <c r="A8" s="30"/>
      <c r="B8" s="30"/>
      <c r="C8" s="30"/>
      <c r="D8" s="40"/>
      <c r="E8" s="34" t="s">
        <v>25</v>
      </c>
      <c r="F8" s="39">
        <v>6.55</v>
      </c>
      <c r="G8" s="30"/>
      <c r="H8" s="178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1">
        <f t="shared" si="0"/>
        <v>560.70000000000005</v>
      </c>
      <c r="AG8" s="36">
        <v>0.89</v>
      </c>
      <c r="AH8" s="37">
        <v>630</v>
      </c>
      <c r="AI8" s="31" t="s">
        <v>9</v>
      </c>
    </row>
    <row r="9" spans="1:47" ht="15">
      <c r="A9" s="30"/>
      <c r="B9" s="30"/>
      <c r="C9" s="30"/>
      <c r="D9" s="30"/>
      <c r="E9" s="31"/>
      <c r="F9" s="41" t="s">
        <v>33</v>
      </c>
      <c r="G9" s="41" t="s">
        <v>34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1">
        <f t="shared" si="0"/>
        <v>890</v>
      </c>
      <c r="AG9" s="36">
        <v>0.89</v>
      </c>
      <c r="AH9" s="37">
        <v>1000</v>
      </c>
      <c r="AI9" s="31" t="s">
        <v>10</v>
      </c>
    </row>
    <row r="10" spans="1:47" ht="16.5">
      <c r="A10" s="30"/>
      <c r="B10" s="30"/>
      <c r="C10" s="30" t="s">
        <v>38</v>
      </c>
      <c r="D10" s="30" t="s">
        <v>36</v>
      </c>
      <c r="E10" s="42" t="s">
        <v>29</v>
      </c>
      <c r="F10" s="43">
        <v>733.15</v>
      </c>
      <c r="G10" s="43">
        <v>733.15</v>
      </c>
      <c r="H10" s="44"/>
      <c r="I10" s="30" t="s">
        <v>37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1">
        <f t="shared" si="0"/>
        <v>1112.5</v>
      </c>
      <c r="AG10" s="36">
        <v>0.89</v>
      </c>
      <c r="AH10" s="37">
        <v>1250</v>
      </c>
      <c r="AI10" s="31" t="s">
        <v>11</v>
      </c>
    </row>
    <row r="11" spans="1:47">
      <c r="A11" s="30"/>
      <c r="B11" s="30"/>
      <c r="C11" s="30"/>
      <c r="D11" s="30"/>
      <c r="E11" s="31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1">
        <f t="shared" si="0"/>
        <v>1424</v>
      </c>
      <c r="AG11" s="36">
        <v>0.89</v>
      </c>
      <c r="AH11" s="37">
        <v>1600</v>
      </c>
      <c r="AI11" s="31"/>
    </row>
    <row r="12" spans="1:47" ht="16.5">
      <c r="A12" s="30"/>
      <c r="B12" s="30"/>
      <c r="C12" s="45"/>
      <c r="D12" s="46"/>
      <c r="E12" s="47"/>
      <c r="F12" s="48"/>
      <c r="G12" s="49"/>
      <c r="H12" s="49"/>
      <c r="I12" s="30"/>
      <c r="J12" s="30"/>
      <c r="K12" s="30"/>
      <c r="L12" s="30"/>
      <c r="M12" s="30"/>
      <c r="N12" s="50">
        <f>(F10*50)+(F12*1*F6)+(F15*1*F7)+(F18*50*F8)</f>
        <v>36657.5</v>
      </c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3" spans="1:47" ht="16.5">
      <c r="A13" s="30"/>
      <c r="B13" s="30"/>
      <c r="C13" s="51"/>
      <c r="D13" s="46"/>
      <c r="E13" s="47"/>
      <c r="F13" s="48"/>
      <c r="G13" s="49"/>
      <c r="H13" s="49"/>
      <c r="I13" s="52">
        <f>IF(Расчет!F14=0,0,ДОП!J13)</f>
        <v>0</v>
      </c>
      <c r="J13" s="52">
        <f>(Расчет!F14*ДОП!C31*ДОП!F6)</f>
        <v>0</v>
      </c>
      <c r="K13" s="52" t="s">
        <v>30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</row>
    <row r="14" spans="1:47" ht="15">
      <c r="A14" s="30"/>
      <c r="B14" s="30"/>
      <c r="C14" s="51"/>
      <c r="D14" s="46"/>
      <c r="E14" s="47"/>
      <c r="F14" s="49"/>
      <c r="G14" s="49"/>
      <c r="H14" s="49"/>
      <c r="I14" s="52"/>
      <c r="J14" s="52"/>
      <c r="K14" s="52"/>
      <c r="L14" s="30"/>
      <c r="M14" s="30"/>
      <c r="N14" s="30">
        <f>(F10*50)+(E26*50)+(E27*50)+(F28*50)</f>
        <v>36657.5</v>
      </c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1:47" ht="16.5">
      <c r="A15" s="53" t="s">
        <v>589</v>
      </c>
      <c r="B15" s="30"/>
      <c r="C15" s="54" t="s">
        <v>586</v>
      </c>
      <c r="D15" s="46"/>
      <c r="E15" s="47"/>
      <c r="F15" s="48"/>
      <c r="G15" s="49"/>
      <c r="H15" s="49"/>
      <c r="I15" s="52">
        <f>IF(Расчет!F21=0,0,ДОП!J15)</f>
        <v>0</v>
      </c>
      <c r="J15" s="52">
        <f>(Расчет!F21*ДОП!C32*ДОП!F7)</f>
        <v>0</v>
      </c>
      <c r="K15" s="52" t="s">
        <v>31</v>
      </c>
      <c r="L15" s="30"/>
      <c r="M15" s="30"/>
      <c r="N15" s="30">
        <f>IF(F8="I",ДОП!C18,IF(ДОП!F8="II",ДОП!A17,ДОП!A16))</f>
        <v>0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47" ht="16.5">
      <c r="A16" s="55">
        <f>(G37*Расчет!F10)+(I17+(C33*Расчет!F10*F8))*1</f>
        <v>0</v>
      </c>
      <c r="B16" s="30"/>
      <c r="C16" s="55">
        <f>(Расчет!F10*(ДОП!F37+ДОП!B31+ДОП!B32+ДОП!B33))*1</f>
        <v>0</v>
      </c>
      <c r="D16" s="46"/>
      <c r="E16" s="47"/>
      <c r="F16" s="48"/>
      <c r="G16" s="49"/>
      <c r="H16" s="49"/>
      <c r="I16" s="49"/>
      <c r="J16" s="49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U16" s="56"/>
    </row>
    <row r="17" spans="1:35" ht="15">
      <c r="A17" s="55">
        <f>(G37*Расчет!F10)+(I17+(C33*Расчет!F10*F8))*2</f>
        <v>0</v>
      </c>
      <c r="B17" s="30"/>
      <c r="C17" s="55">
        <f>(Расчет!F10*(ДОП!F37+ДОП!B31+ДОП!B32+ДОП!B33))*2</f>
        <v>0</v>
      </c>
      <c r="D17" s="46"/>
      <c r="E17" s="47"/>
      <c r="F17" s="49"/>
      <c r="G17" s="49"/>
      <c r="H17" s="49"/>
      <c r="I17" s="57">
        <f>I13+I14+I15</f>
        <v>0</v>
      </c>
      <c r="J17" s="49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1:35" ht="16.5">
      <c r="A18" s="55">
        <f>(G37*Расчет!F10)+(I17+(C33*Расчет!F10*F8))*3</f>
        <v>0</v>
      </c>
      <c r="B18" s="30"/>
      <c r="C18" s="55">
        <f>(Расчет!F10*(ДОП!F37+ДОП!B31+ДОП!B32+ДОП!B33))*3</f>
        <v>0</v>
      </c>
      <c r="D18" s="46"/>
      <c r="E18" s="47"/>
      <c r="F18" s="58"/>
      <c r="G18" s="49"/>
      <c r="H18" s="49"/>
      <c r="I18" s="49"/>
      <c r="J18" s="49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</row>
    <row r="19" spans="1:35" ht="16.5">
      <c r="A19" s="59"/>
      <c r="B19" s="30"/>
      <c r="C19" s="59"/>
      <c r="D19" s="46"/>
      <c r="E19" s="47"/>
      <c r="F19" s="58"/>
      <c r="G19" s="49"/>
      <c r="H19" s="49"/>
      <c r="I19" s="49"/>
      <c r="J19" s="49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1:35" ht="16.5">
      <c r="A20" s="59">
        <f>($G$37*Расчет!F10)+(($C$31*Расчет!F10)+($C$32*Расчет!F10)+($C$33*Расчет!F10))*1</f>
        <v>0</v>
      </c>
      <c r="C20" s="59">
        <f>($G$37*Расчет!H10)+(($B$31*Расчет!H10)+($B$32*Расчет!H10)+($B$33*Расчет!H10))*1</f>
        <v>0</v>
      </c>
      <c r="D20" s="46"/>
      <c r="E20" s="47"/>
      <c r="F20" s="58"/>
      <c r="G20" s="49"/>
      <c r="H20" s="49"/>
      <c r="I20" s="49"/>
      <c r="J20" s="49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1:35" ht="16.5">
      <c r="A21" s="59">
        <f>($G$37*Расчет!F10)+(($C$31*Расчет!F10)+($C$32*Расчет!F10)+($C$33*Расчет!F10))*2</f>
        <v>0</v>
      </c>
      <c r="B21" s="30"/>
      <c r="C21" s="59">
        <f>($G$37*Расчет!H10)+(($D$31*Расчет!H10)+($D$32*Расчет!H10)+($D$33*Расчет!H10))*2</f>
        <v>0</v>
      </c>
      <c r="D21" s="46"/>
      <c r="E21" s="47"/>
      <c r="F21" s="58"/>
      <c r="G21" s="49"/>
      <c r="H21" s="49"/>
      <c r="I21" s="49"/>
      <c r="J21" s="49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1:35" ht="16.5">
      <c r="A22" s="59">
        <f>($G$37*Расчет!F10)+(($C$31*Расчет!F10)+($C$32*Расчет!F10)+($C$33*Расчет!F10))*3</f>
        <v>0</v>
      </c>
      <c r="B22" s="30"/>
      <c r="C22" s="59">
        <f>($G$37*Расчет!H10)+(($D$31*Расчет!H10)+($D$32*Расчет!H10)+($D$33*Расчет!H10))*3</f>
        <v>0</v>
      </c>
      <c r="D22" s="46"/>
      <c r="E22" s="47"/>
      <c r="F22" s="58"/>
      <c r="G22" s="49"/>
      <c r="H22" s="49"/>
      <c r="I22" s="49"/>
      <c r="J22" s="49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1:35" ht="16.5">
      <c r="A23" s="59"/>
      <c r="B23" s="30"/>
      <c r="C23" s="51"/>
      <c r="D23" s="46"/>
      <c r="E23" s="47"/>
      <c r="F23" s="58"/>
      <c r="G23" s="49"/>
      <c r="H23" s="49"/>
      <c r="I23" s="49"/>
      <c r="J23" s="49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1:35" ht="15">
      <c r="A24" s="29" t="s">
        <v>27</v>
      </c>
      <c r="B24" s="60">
        <f>IF(AND(Расчет!F14=""),,IF(Расчет!F6="",0,IF(Расчет!F6=0.4,ДОП!B31,IF(Расчет!F6="10",ДОП!B31,))))</f>
        <v>0</v>
      </c>
      <c r="C24" s="45"/>
      <c r="D24" s="61"/>
      <c r="E24" s="47"/>
      <c r="F24" s="49"/>
      <c r="G24" s="49"/>
      <c r="H24" s="49"/>
      <c r="I24" s="49"/>
      <c r="J24" s="49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1:35" ht="16.5">
      <c r="A25" s="29" t="s">
        <v>28</v>
      </c>
      <c r="B25" s="60">
        <f>IF(AND(Расчет!F21=""),,IF(Расчет!F6="",0,IF(Расчет!F6=0.4,ДОП!B32,IF(Расчет!F6="10",ДОП!B32,))))</f>
        <v>0</v>
      </c>
      <c r="C25" s="51"/>
      <c r="D25" s="61"/>
      <c r="E25" s="47"/>
      <c r="F25" s="58"/>
      <c r="G25" s="49"/>
      <c r="H25" s="49"/>
      <c r="I25" s="49"/>
      <c r="J25" s="49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1:35" ht="16.5">
      <c r="A26" s="62"/>
      <c r="B26" s="50"/>
      <c r="C26" s="51"/>
      <c r="D26" s="63"/>
      <c r="E26" s="48"/>
      <c r="F26" s="48"/>
      <c r="G26" s="49"/>
      <c r="H26" s="49"/>
      <c r="I26" s="49"/>
      <c r="J26" s="49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1:35" ht="16.5">
      <c r="A27" s="29" t="s">
        <v>27</v>
      </c>
      <c r="B27" s="64"/>
      <c r="C27" s="45"/>
      <c r="D27" s="63"/>
      <c r="E27" s="48"/>
      <c r="F27" s="48"/>
      <c r="G27" s="49"/>
      <c r="H27" s="49"/>
      <c r="I27" s="49"/>
      <c r="J27" s="49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5" ht="16.5">
      <c r="A28" s="29" t="s">
        <v>28</v>
      </c>
      <c r="B28" s="65"/>
      <c r="C28" s="45"/>
      <c r="D28" s="61"/>
      <c r="E28" s="66"/>
      <c r="F28" s="67"/>
      <c r="G28" s="49"/>
      <c r="H28" s="49"/>
      <c r="I28" s="49"/>
      <c r="J28" s="49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1:35" ht="16.5">
      <c r="A29" s="30"/>
      <c r="B29" s="68" t="s">
        <v>587</v>
      </c>
      <c r="C29" s="68" t="s">
        <v>588</v>
      </c>
      <c r="D29" s="61"/>
      <c r="E29" s="66"/>
      <c r="F29" s="67"/>
      <c r="G29" s="49"/>
      <c r="H29" s="49"/>
      <c r="I29" s="49"/>
      <c r="J29" s="49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1:35" ht="16.5">
      <c r="A30" s="30"/>
      <c r="B30" s="54"/>
      <c r="C30" s="54"/>
      <c r="D30" s="61"/>
      <c r="E30" s="66"/>
      <c r="F30" s="67"/>
      <c r="G30" s="49"/>
      <c r="H30" s="49"/>
      <c r="I30" s="49"/>
      <c r="J30" s="49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1:35" ht="16.5">
      <c r="A31" s="62" t="s">
        <v>23</v>
      </c>
      <c r="B31" s="69">
        <f>B60</f>
        <v>0</v>
      </c>
      <c r="C31" s="69">
        <f>B139</f>
        <v>0</v>
      </c>
      <c r="D31" s="70"/>
      <c r="E31" s="66"/>
      <c r="F31" s="67"/>
      <c r="G31" s="49"/>
      <c r="H31" s="49"/>
      <c r="I31" s="49"/>
      <c r="J31" s="49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1:35" ht="16.5">
      <c r="A32" s="62" t="s">
        <v>24</v>
      </c>
      <c r="B32" s="69">
        <f>B84</f>
        <v>0</v>
      </c>
      <c r="C32" s="69">
        <f>B182</f>
        <v>0</v>
      </c>
      <c r="D32" s="70"/>
      <c r="E32" s="66"/>
      <c r="F32" s="58"/>
      <c r="G32" s="49"/>
      <c r="H32" s="49"/>
      <c r="I32" s="49"/>
      <c r="J32" s="49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1:35" ht="16.5">
      <c r="A33" s="62" t="s">
        <v>40</v>
      </c>
      <c r="B33" s="71">
        <f>B100</f>
        <v>0</v>
      </c>
      <c r="C33" s="71">
        <f>B246</f>
        <v>0</v>
      </c>
      <c r="D33" s="70"/>
      <c r="E33" s="66"/>
      <c r="F33" s="58"/>
      <c r="G33" s="49"/>
      <c r="H33" s="49"/>
      <c r="I33" s="49"/>
      <c r="J33" s="49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1:35">
      <c r="A34" s="72"/>
      <c r="B34" s="72"/>
      <c r="C34" s="72"/>
      <c r="D34" s="72"/>
      <c r="E34" s="73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</row>
    <row r="35" spans="1:35" ht="35.25" customHeight="1">
      <c r="A35" s="174" t="s">
        <v>223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</row>
    <row r="36" spans="1:35" ht="135">
      <c r="A36" s="72"/>
      <c r="B36" s="72"/>
      <c r="C36" s="72"/>
      <c r="D36" s="72"/>
      <c r="E36" s="31"/>
      <c r="F36" s="41" t="s">
        <v>34</v>
      </c>
      <c r="G36" s="41" t="s">
        <v>33</v>
      </c>
      <c r="H36" s="74" t="s">
        <v>39</v>
      </c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</row>
    <row r="37" spans="1:35" ht="17.25" thickBot="1">
      <c r="A37" s="30"/>
      <c r="B37" s="30"/>
      <c r="C37" s="75" t="s">
        <v>34</v>
      </c>
      <c r="D37" s="30"/>
      <c r="E37" s="75" t="s">
        <v>29</v>
      </c>
      <c r="F37" s="43">
        <v>733.15</v>
      </c>
      <c r="G37" s="43">
        <v>733.15</v>
      </c>
      <c r="H37" s="43">
        <v>733.15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1:35" ht="17.25" customHeight="1" thickBot="1">
      <c r="A38" s="76" t="s">
        <v>554</v>
      </c>
      <c r="B38" s="31">
        <f>IF(Расчет!$F$17="строительство ВЛИ-0,4 кВ, СИП2 3x16",ДОП!G38,0)</f>
        <v>0</v>
      </c>
      <c r="C38" s="31">
        <f>IF(Расчет!$F$17="строительство ВЛИ-0,4 кВ, СИП2 3x16",ДОП!F38,0)</f>
        <v>0</v>
      </c>
      <c r="D38" s="42" t="s">
        <v>23</v>
      </c>
      <c r="E38" s="31"/>
      <c r="F38" s="77" t="s">
        <v>98</v>
      </c>
      <c r="G38" s="77" t="s">
        <v>99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</row>
    <row r="39" spans="1:35" ht="17.25" customHeight="1" thickBot="1">
      <c r="A39" s="76" t="s">
        <v>555</v>
      </c>
      <c r="B39" s="31">
        <f>IF(Расчет!$F$17="строительство ВЛИ-0,4 кВ, СИП2 3x25",ДОП!G39,0)</f>
        <v>0</v>
      </c>
      <c r="C39" s="31">
        <f>IF(Расчет!$F$17="строительство ВЛИ-0,4 кВ, СИП2 3x25",ДОП!F39,0)</f>
        <v>0</v>
      </c>
      <c r="D39" s="42" t="s">
        <v>23</v>
      </c>
      <c r="E39" s="31"/>
      <c r="F39" s="77" t="s">
        <v>100</v>
      </c>
      <c r="G39" s="77" t="s">
        <v>101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</row>
    <row r="40" spans="1:35" ht="15.75" thickBot="1">
      <c r="A40" s="76" t="s">
        <v>45</v>
      </c>
      <c r="B40" s="31">
        <f>IF(Расчет!$F$17="строительство ВЛИ-0,4 кВ, СИП2 3x35",ДОП!G40,0)</f>
        <v>0</v>
      </c>
      <c r="C40" s="31">
        <f>IF(Расчет!$F$17="строительство ВЛИ-0,4 кВ, СИП2 3x35",ДОП!F40,0)</f>
        <v>0</v>
      </c>
      <c r="D40" s="42" t="s">
        <v>23</v>
      </c>
      <c r="E40" s="31"/>
      <c r="F40" s="77" t="s">
        <v>102</v>
      </c>
      <c r="G40" s="77" t="s">
        <v>103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</row>
    <row r="41" spans="1:35" ht="15.75" thickBot="1">
      <c r="A41" s="78" t="s">
        <v>46</v>
      </c>
      <c r="B41" s="31">
        <f>IF(Расчет!$F$17="строительство ВЛИ-0,4 кВ, СИП2 3x50",ДОП!G41,0)</f>
        <v>0</v>
      </c>
      <c r="C41" s="31">
        <f>IF(Расчет!$F$17="строительство ВЛИ-0,4 кВ, СИП2 3x50",ДОП!F41,0)</f>
        <v>0</v>
      </c>
      <c r="D41" s="42" t="s">
        <v>23</v>
      </c>
      <c r="E41" s="31"/>
      <c r="F41" s="79" t="s">
        <v>104</v>
      </c>
      <c r="G41" s="79" t="s">
        <v>105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</row>
    <row r="42" spans="1:35" ht="17.25" customHeight="1" thickBot="1">
      <c r="A42" s="76" t="s">
        <v>47</v>
      </c>
      <c r="B42" s="31">
        <f>IF(Расчет!$F$17="строительство ВЛИ-0,4 кВ, СИП2 3x70",ДОП!G42,0)</f>
        <v>0</v>
      </c>
      <c r="C42" s="31">
        <f>IF(Расчет!$F$17="строительство ВЛИ-0,4 кВ, СИП2 3x70",ДОП!F42,0)</f>
        <v>0</v>
      </c>
      <c r="D42" s="42" t="s">
        <v>23</v>
      </c>
      <c r="E42" s="31"/>
      <c r="F42" s="77" t="s">
        <v>106</v>
      </c>
      <c r="G42" s="77" t="s">
        <v>107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</row>
    <row r="43" spans="1:35" ht="15.75" thickBot="1">
      <c r="A43" s="76" t="s">
        <v>48</v>
      </c>
      <c r="B43" s="31">
        <f>IF(Расчет!$F$17="строительство ВЛИ-0,4 кВ, СИП2 3x95",ДОП!G43,0)</f>
        <v>0</v>
      </c>
      <c r="C43" s="31">
        <f>IF(Расчет!$F$17="строительство ВЛИ-0,4 кВ, СИП2 3x95",ДОП!F43,0)</f>
        <v>0</v>
      </c>
      <c r="D43" s="42" t="s">
        <v>23</v>
      </c>
      <c r="E43" s="31"/>
      <c r="F43" s="80" t="s">
        <v>108</v>
      </c>
      <c r="G43" s="77" t="s">
        <v>109</v>
      </c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</row>
    <row r="44" spans="1:35" ht="15.75" thickBot="1">
      <c r="A44" s="76" t="s">
        <v>49</v>
      </c>
      <c r="B44" s="31">
        <f>IF(Расчет!$F$17="строительство ВЛИ-0,4 кВ, СИП2 3x120",ДОП!G44,0)</f>
        <v>0</v>
      </c>
      <c r="C44" s="31">
        <f>IF(Расчет!$F$17="строительство ВЛИ-0,4 кВ, СИП2 3x120",ДОП!F44,0)</f>
        <v>0</v>
      </c>
      <c r="D44" s="42" t="s">
        <v>23</v>
      </c>
      <c r="E44" s="31"/>
      <c r="F44" s="77" t="s">
        <v>110</v>
      </c>
      <c r="G44" s="77" t="s">
        <v>111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</row>
    <row r="45" spans="1:35" ht="15.75" thickBot="1">
      <c r="A45" s="76" t="s">
        <v>568</v>
      </c>
      <c r="B45" s="31">
        <f>IF(Расчет!$F$17="строительство ВЛИ-0,4 кВ, СИП4-2х16",ДОП!G45,0)</f>
        <v>0</v>
      </c>
      <c r="C45" s="31">
        <f>IF(Расчет!$F$17="строительство ВЛИ-0,4 кВ, СИП4-2х16",ДОП!F45,0)</f>
        <v>0</v>
      </c>
      <c r="D45" s="42" t="s">
        <v>23</v>
      </c>
      <c r="E45" s="31"/>
      <c r="F45" s="77" t="s">
        <v>112</v>
      </c>
      <c r="G45" s="77" t="s">
        <v>113</v>
      </c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</row>
    <row r="46" spans="1:35" ht="15.75" thickBot="1">
      <c r="A46" s="76" t="s">
        <v>569</v>
      </c>
      <c r="B46" s="31">
        <f>IF(Расчет!$F$17="строительство ВЛИ-0,4 кВ, СИП4-4х25",ДОП!G46,0)</f>
        <v>0</v>
      </c>
      <c r="C46" s="31">
        <f>IF(Расчет!$F$17="строительство ВЛИ-0,4 кВ, СИП4-4х25",ДОП!F46,0)</f>
        <v>0</v>
      </c>
      <c r="D46" s="42" t="s">
        <v>23</v>
      </c>
      <c r="E46" s="31"/>
      <c r="F46" s="77" t="s">
        <v>114</v>
      </c>
      <c r="G46" s="77" t="s">
        <v>115</v>
      </c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</row>
    <row r="47" spans="1:35" ht="15.75" thickBot="1">
      <c r="A47" s="76" t="s">
        <v>570</v>
      </c>
      <c r="B47" s="31">
        <f>IF(Расчет!$F$17="строительство ВЛИ-0,4 кВ, СИП4-4х35",ДОП!G47,0)</f>
        <v>0</v>
      </c>
      <c r="C47" s="31">
        <f>IF(Расчет!$F$17="строительство ВЛИ-0,4 кВ, СИП4-4х35",ДОП!F47,0)</f>
        <v>0</v>
      </c>
      <c r="D47" s="42" t="s">
        <v>23</v>
      </c>
      <c r="E47" s="31"/>
      <c r="F47" s="77" t="s">
        <v>116</v>
      </c>
      <c r="G47" s="77" t="s">
        <v>117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</row>
    <row r="48" spans="1:35" ht="15.75" thickBot="1">
      <c r="A48" s="76" t="s">
        <v>571</v>
      </c>
      <c r="B48" s="31">
        <f>IF(Расчет!$F$17="строительство ВЛИ-0,4 кВ, СИП4-4х50",ДОП!G48,0)</f>
        <v>0</v>
      </c>
      <c r="C48" s="31">
        <f>IF(Расчет!$F$17="строительство ВЛИ-0,4 кВ, СИП4-4х50",ДОП!F48,0)</f>
        <v>0</v>
      </c>
      <c r="D48" s="42" t="s">
        <v>23</v>
      </c>
      <c r="E48" s="31"/>
      <c r="F48" s="77" t="s">
        <v>118</v>
      </c>
      <c r="G48" s="77" t="s">
        <v>119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</row>
    <row r="49" spans="1:35" ht="15.75" thickBot="1">
      <c r="A49" s="76" t="s">
        <v>572</v>
      </c>
      <c r="B49" s="31">
        <f>IF(Расчет!$F$17="строительство ВЛИ-0,4 кВ, СИП4-4х70",ДОП!G49,0)</f>
        <v>0</v>
      </c>
      <c r="C49" s="31">
        <f>IF(Расчет!$F$17="строительство ВЛИ-0,4 кВ, СИП4-4х70",ДОП!F49,0)</f>
        <v>0</v>
      </c>
      <c r="D49" s="42" t="s">
        <v>23</v>
      </c>
      <c r="E49" s="31"/>
      <c r="F49" s="77" t="s">
        <v>120</v>
      </c>
      <c r="G49" s="77" t="s">
        <v>121</v>
      </c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</row>
    <row r="50" spans="1:35" ht="15.75" thickBot="1">
      <c r="A50" s="76" t="s">
        <v>573</v>
      </c>
      <c r="B50" s="31">
        <f>IF(Расчет!$F$17="строительство ВЛИ-0,4 кВ, СИП4-4х95",ДОП!G50,0)</f>
        <v>0</v>
      </c>
      <c r="C50" s="31">
        <f>IF(Расчет!$F$17="строительство ВЛИ-0,4 кВ, СИП4-4х95",ДОП!F50,0)</f>
        <v>0</v>
      </c>
      <c r="D50" s="42" t="s">
        <v>23</v>
      </c>
      <c r="E50" s="31"/>
      <c r="F50" s="77" t="s">
        <v>122</v>
      </c>
      <c r="G50" s="77" t="s">
        <v>123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</row>
    <row r="51" spans="1:35" ht="15.75" thickBot="1">
      <c r="A51" s="76" t="s">
        <v>574</v>
      </c>
      <c r="B51" s="31">
        <f>IF(Расчет!$F$17="строительство ВЛЗ-10 кВ, СИПЗ-1х35",ДОП!G51,0)</f>
        <v>0</v>
      </c>
      <c r="C51" s="31">
        <f>IF(Расчет!$F$17="строительство ВЛЗ-10 кВ, СИПЗ-1х35",ДОП!F51,0)</f>
        <v>0</v>
      </c>
      <c r="D51" s="42" t="s">
        <v>23</v>
      </c>
      <c r="E51" s="31"/>
      <c r="F51" s="77" t="s">
        <v>124</v>
      </c>
      <c r="G51" s="77" t="s">
        <v>125</v>
      </c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</row>
    <row r="52" spans="1:35" ht="15.75" thickBot="1">
      <c r="A52" s="76" t="s">
        <v>575</v>
      </c>
      <c r="B52" s="31">
        <f>IF(Расчет!$F$17="строительство ВЛЗ-10 кВ, СИПЗ-1х50",ДОП!G52,0)</f>
        <v>0</v>
      </c>
      <c r="C52" s="31">
        <f>IF(Расчет!$F$17="строительство ВЛЗ-10 кВ, СИПЗ-1х50",ДОП!F52,0)</f>
        <v>0</v>
      </c>
      <c r="D52" s="42" t="s">
        <v>23</v>
      </c>
      <c r="E52" s="31"/>
      <c r="F52" s="77" t="s">
        <v>126</v>
      </c>
      <c r="G52" s="77" t="s">
        <v>127</v>
      </c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</row>
    <row r="53" spans="1:35" ht="15.75" thickBot="1">
      <c r="A53" s="76" t="s">
        <v>576</v>
      </c>
      <c r="B53" s="31">
        <f>IF(Расчет!$F$17="строительство ВЛЗ-10 кВ, СИПЗ-1х70",ДОП!G53,0)</f>
        <v>0</v>
      </c>
      <c r="C53" s="31">
        <f>IF(Расчет!$F$17="строительство ВЛЗ-10 кВ, СИПЗ-1х70",ДОП!F53,0)</f>
        <v>0</v>
      </c>
      <c r="D53" s="42" t="s">
        <v>23</v>
      </c>
      <c r="E53" s="31"/>
      <c r="F53" s="77" t="s">
        <v>128</v>
      </c>
      <c r="G53" s="77" t="s">
        <v>129</v>
      </c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</row>
    <row r="54" spans="1:35" ht="15.75" thickBot="1">
      <c r="A54" s="76" t="s">
        <v>577</v>
      </c>
      <c r="B54" s="31">
        <f>IF(Расчет!$F$17="строительство ВЛЗ-10 кВ, СИПЗ-1х95",ДОП!G54,0)</f>
        <v>0</v>
      </c>
      <c r="C54" s="31">
        <f>IF(Расчет!$F$17="строительство ВЛЗ-10 кВ, СИПЗ-1х95",ДОП!F54,0)</f>
        <v>0</v>
      </c>
      <c r="D54" s="42" t="s">
        <v>23</v>
      </c>
      <c r="E54" s="31"/>
      <c r="F54" s="77" t="s">
        <v>130</v>
      </c>
      <c r="G54" s="77" t="s">
        <v>131</v>
      </c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</row>
    <row r="55" spans="1:35" ht="15.75" thickBot="1">
      <c r="A55" s="76" t="s">
        <v>578</v>
      </c>
      <c r="B55" s="31">
        <f>IF(Расчет!$F$17="строительство ВЛЗ-10 кВ, СИПЗ-1х120",ДОП!G55,0)</f>
        <v>0</v>
      </c>
      <c r="C55" s="31">
        <f>IF(Расчет!$F$17="строительство ВЛЗ-10 кВ, СИПЗ-1х120",ДОП!F55,0)</f>
        <v>0</v>
      </c>
      <c r="D55" s="42" t="s">
        <v>23</v>
      </c>
      <c r="E55" s="31"/>
      <c r="F55" s="77" t="s">
        <v>132</v>
      </c>
      <c r="G55" s="77" t="s">
        <v>133</v>
      </c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</row>
    <row r="56" spans="1:35" ht="15.75" thickBot="1">
      <c r="A56" s="76" t="s">
        <v>579</v>
      </c>
      <c r="B56" s="31">
        <f>IF(Расчет!$F$17="строительство ВЛЗ-10 кВ, АС-50",ДОП!G56,0)</f>
        <v>0</v>
      </c>
      <c r="C56" s="31">
        <f>IF(Расчет!$F$17="строительство ВЛЗ-10 кВ, АС-50",ДОП!F56,0)</f>
        <v>0</v>
      </c>
      <c r="D56" s="42" t="s">
        <v>23</v>
      </c>
      <c r="E56" s="31"/>
      <c r="F56" s="77" t="s">
        <v>134</v>
      </c>
      <c r="G56" s="77" t="s">
        <v>135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</row>
    <row r="57" spans="1:35" ht="15.75" thickBot="1">
      <c r="A57" s="76" t="s">
        <v>580</v>
      </c>
      <c r="B57" s="31">
        <f>IF(Расчет!$F$17="строительство ВЛЗ-10 кВ, АС-70",ДОП!G57,0)</f>
        <v>0</v>
      </c>
      <c r="C57" s="31">
        <f>IF(Расчет!$F$17="строительство ВЛЗ-10 кВ, АС-70",ДОП!F57,0)</f>
        <v>0</v>
      </c>
      <c r="D57" s="42" t="s">
        <v>23</v>
      </c>
      <c r="E57" s="31"/>
      <c r="F57" s="77" t="s">
        <v>136</v>
      </c>
      <c r="G57" s="77" t="s">
        <v>137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</row>
    <row r="58" spans="1:35" ht="15.75" thickBot="1">
      <c r="A58" s="76" t="s">
        <v>581</v>
      </c>
      <c r="B58" s="31">
        <f>IF(Расчет!$F$17="строительство ВЛЗ-10 кВ, АС-95",ДОП!G58,0)</f>
        <v>0</v>
      </c>
      <c r="C58" s="31">
        <f>IF(Расчет!$F$17="строительство ВЛЗ-10 кВ, АС-95",ДОП!F58,0)</f>
        <v>0</v>
      </c>
      <c r="D58" s="42" t="s">
        <v>23</v>
      </c>
      <c r="E58" s="31"/>
      <c r="F58" s="77" t="s">
        <v>138</v>
      </c>
      <c r="G58" s="77" t="s">
        <v>139</v>
      </c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</row>
    <row r="59" spans="1:35" ht="16.5">
      <c r="A59" s="81"/>
      <c r="B59" s="69">
        <f>B38+B39+B40+B41+B42+B43+B44+B45+B46+B47+B48+B49+B50+B51+B52+B53+B54+B55+B56+B57+B58</f>
        <v>0</v>
      </c>
      <c r="C59" s="69">
        <f>C38+C39+C40+C41+C42+C43+C44+C45+C46+C47+C48+C49+C50+C51+C52+C53+C54+C55+C56+C57+C58</f>
        <v>0</v>
      </c>
      <c r="D59" s="42"/>
      <c r="E59" s="31"/>
      <c r="F59" s="82"/>
      <c r="G59" s="83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</row>
    <row r="60" spans="1:35" s="91" customFormat="1" ht="17.25" thickBot="1">
      <c r="A60" s="84" t="s">
        <v>83</v>
      </c>
      <c r="B60" s="54">
        <f>IF(Расчет!F10&gt;150,ДОП!C59,ДОП!B59)</f>
        <v>0</v>
      </c>
      <c r="C60" s="85"/>
      <c r="D60" s="86"/>
      <c r="E60" s="87"/>
      <c r="F60" s="88"/>
      <c r="G60" s="89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</row>
    <row r="61" spans="1:35" ht="15.75" thickBot="1">
      <c r="A61" s="76" t="s">
        <v>63</v>
      </c>
      <c r="B61" s="31">
        <f>IF(Расчет!$F$24="строительство КЛ-0,4 кВ, АВБбШв 4x25",ДОП!G61,0)</f>
        <v>0</v>
      </c>
      <c r="C61" s="31">
        <f>IF(Расчет!$F$24="строительство КЛ-0,4 кВ, АВБбШв 4x25",ДОП!F61,0)</f>
        <v>0</v>
      </c>
      <c r="D61" s="42" t="s">
        <v>24</v>
      </c>
      <c r="E61" s="31"/>
      <c r="F61" s="77" t="s">
        <v>140</v>
      </c>
      <c r="G61" s="77" t="s">
        <v>141</v>
      </c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</row>
    <row r="62" spans="1:35" ht="15.75" thickBot="1">
      <c r="A62" s="76" t="s">
        <v>64</v>
      </c>
      <c r="B62" s="31">
        <f>IF(Расчет!$F$24="строительство КЛ-0,4 кВ, АВБбШв 4x120",ДОП!G62,0)</f>
        <v>0</v>
      </c>
      <c r="C62" s="31">
        <f>IF(Расчет!$F$24="строительство КЛ-0,4 кВ, АВБбШв 4x120",ДОП!F62,0)</f>
        <v>0</v>
      </c>
      <c r="D62" s="42" t="s">
        <v>24</v>
      </c>
      <c r="E62" s="31"/>
      <c r="F62" s="77" t="s">
        <v>142</v>
      </c>
      <c r="G62" s="77" t="s">
        <v>143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</row>
    <row r="63" spans="1:35" ht="15.75" thickBot="1">
      <c r="A63" s="76" t="s">
        <v>65</v>
      </c>
      <c r="B63" s="31">
        <f>IF(Расчет!$F$24="строительство КЛ-0,4 кВ, АСБ-1 4x120",ДОП!G63,0)</f>
        <v>0</v>
      </c>
      <c r="C63" s="31">
        <f>IF(Расчет!$F$24="строительство КЛ-0,4 кВ, АСБ-1 4x120",ДОП!F63,0)</f>
        <v>0</v>
      </c>
      <c r="D63" s="42" t="s">
        <v>24</v>
      </c>
      <c r="E63" s="31"/>
      <c r="F63" s="77" t="s">
        <v>144</v>
      </c>
      <c r="G63" s="77" t="s">
        <v>145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</row>
    <row r="64" spans="1:35" ht="409.6" thickBot="1">
      <c r="A64" s="92" t="s">
        <v>66</v>
      </c>
      <c r="B64" s="31">
        <f>IF(Расчет!$F$24="строительство КЛ-0,4 кВ, АСБ-1 4x120 (с проколом)",ДОП!G64,0)</f>
        <v>0</v>
      </c>
      <c r="C64" s="31">
        <f>IF(Расчет!$F$24="строительство КЛ-0,4 кВ, АСБ-1 4x120 (с проколом)",ДОП!F64,0)</f>
        <v>0</v>
      </c>
      <c r="D64" s="42" t="s">
        <v>24</v>
      </c>
      <c r="E64" s="31"/>
      <c r="F64" s="77" t="s">
        <v>146</v>
      </c>
      <c r="G64" s="77" t="s">
        <v>147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</row>
    <row r="65" spans="1:35" ht="15.75" thickBot="1">
      <c r="A65" s="76" t="s">
        <v>67</v>
      </c>
      <c r="B65" s="31">
        <f>IF(Расчет!$F$24="строительство КЛ-0,4 кВ, АСБ-1 4x150",ДОП!G65,0)</f>
        <v>0</v>
      </c>
      <c r="C65" s="31">
        <f>IF(Расчет!$F$24="строительство КЛ-0,4 кВ, АСБ-1 4x150",ДОП!F65,0)</f>
        <v>0</v>
      </c>
      <c r="D65" s="42" t="s">
        <v>24</v>
      </c>
      <c r="E65" s="31"/>
      <c r="F65" s="77" t="s">
        <v>148</v>
      </c>
      <c r="G65" s="77" t="s">
        <v>149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</row>
    <row r="66" spans="1:35" ht="409.6" thickBot="1">
      <c r="A66" s="92" t="s">
        <v>68</v>
      </c>
      <c r="B66" s="31">
        <f>IF(Расчет!$F$24="строительство КЛ-0,4 кВ, АСБ-1 4x150 (с проколом)",ДОП!G66,0)</f>
        <v>0</v>
      </c>
      <c r="C66" s="31">
        <f>IF(Расчет!$F$24="строительство КЛ-0,4 кВ, АСБ-1 4x150 (с проколом)",ДОП!F66,0)</f>
        <v>0</v>
      </c>
      <c r="D66" s="42" t="s">
        <v>24</v>
      </c>
      <c r="E66" s="31"/>
      <c r="F66" s="77" t="s">
        <v>150</v>
      </c>
      <c r="G66" s="77" t="s">
        <v>151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</row>
    <row r="67" spans="1:35" ht="15.75" thickBot="1">
      <c r="A67" s="76" t="s">
        <v>69</v>
      </c>
      <c r="B67" s="31">
        <f>IF(Расчет!$F$24="строительство КЛ-0,4 кВ, АСБ-1 4x185",ДОП!G67,0)</f>
        <v>0</v>
      </c>
      <c r="C67" s="31">
        <f>IF(Расчет!$F$24="строительство КЛ-0,4 кВ, АСБ-1 4x185",ДОП!F67,0)</f>
        <v>0</v>
      </c>
      <c r="D67" s="42" t="s">
        <v>24</v>
      </c>
      <c r="E67" s="31"/>
      <c r="F67" s="77" t="s">
        <v>152</v>
      </c>
      <c r="G67" s="77" t="s">
        <v>153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</row>
    <row r="68" spans="1:35" ht="409.6" thickBot="1">
      <c r="A68" s="92" t="s">
        <v>584</v>
      </c>
      <c r="B68" s="31">
        <f>IF(Расчет!$F$24="строительство КЛ-0,4 кВ, АСБ-1 4x185 (с проколом)",ДОП!G68,0)</f>
        <v>0</v>
      </c>
      <c r="C68" s="31">
        <f>IF(Расчет!$F$24="строительство КЛ-0,4 кВ, АСБ-1 4x185 (с проколом)",ДОП!F68,0)</f>
        <v>0</v>
      </c>
      <c r="D68" s="42" t="s">
        <v>24</v>
      </c>
      <c r="E68" s="31"/>
      <c r="F68" s="77" t="s">
        <v>154</v>
      </c>
      <c r="G68" s="77" t="s">
        <v>155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</row>
    <row r="69" spans="1:35" ht="15.75" thickBot="1">
      <c r="A69" s="76" t="s">
        <v>70</v>
      </c>
      <c r="B69" s="31">
        <f>IF(Расчет!$F$24="строительство КЛ-0,4 кВ, АСБ-1 4x240",ДОП!G69,0)</f>
        <v>0</v>
      </c>
      <c r="C69" s="31">
        <f>IF(Расчет!$F$24="строительство КЛ-0,4 кВ, АСБ-1 4x240",ДОП!F69,0)</f>
        <v>0</v>
      </c>
      <c r="D69" s="42" t="s">
        <v>24</v>
      </c>
      <c r="E69" s="31"/>
      <c r="F69" s="77" t="s">
        <v>156</v>
      </c>
      <c r="G69" s="77" t="s">
        <v>157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</row>
    <row r="70" spans="1:35" ht="409.6" thickBot="1">
      <c r="A70" s="92" t="s">
        <v>71</v>
      </c>
      <c r="B70" s="31">
        <f>IF(Расчет!$F$24="строительство КЛ-0,4 кВ, АСБ-1 4x240 (с проколом)",ДОП!G70,0)</f>
        <v>0</v>
      </c>
      <c r="C70" s="31">
        <f>IF(Расчет!$F$24="строительство КЛ-0,4 кВ, АСБ-1 4x240 (с проколом)",ДОП!F70,0)</f>
        <v>0</v>
      </c>
      <c r="D70" s="42" t="s">
        <v>24</v>
      </c>
      <c r="E70" s="31"/>
      <c r="F70" s="77" t="s">
        <v>158</v>
      </c>
      <c r="G70" s="77" t="s">
        <v>159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</row>
    <row r="71" spans="1:35" ht="15.75" thickBot="1">
      <c r="A71" s="76" t="s">
        <v>72</v>
      </c>
      <c r="B71" s="31">
        <f>IF(Расчет!$F$24="строительство КЛ-0,4 кВ, АСАБлУ-14x70",ДОП!G71,0)</f>
        <v>0</v>
      </c>
      <c r="C71" s="31">
        <f>IF(Расчет!$F$24="строительство КЛ-0,4 кВ, АСАБлУ-14x70",ДОП!F71,0)</f>
        <v>0</v>
      </c>
      <c r="D71" s="42" t="s">
        <v>24</v>
      </c>
      <c r="E71" s="31"/>
      <c r="F71" s="77" t="s">
        <v>160</v>
      </c>
      <c r="G71" s="77" t="s">
        <v>161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</row>
    <row r="72" spans="1:35" ht="15.75" thickBot="1">
      <c r="A72" s="76" t="s">
        <v>73</v>
      </c>
      <c r="B72" s="31">
        <f>IF(Расчет!$F$24="строительство КЛ-0,4 кВ, АСАБлУ-14x120",ДОП!G72,0)</f>
        <v>0</v>
      </c>
      <c r="C72" s="31">
        <f>IF(Расчет!$F$24="строительство КЛ-0,4 кВ, АСАБлУ-14x120",ДОП!F72,0)</f>
        <v>0</v>
      </c>
      <c r="D72" s="42" t="s">
        <v>24</v>
      </c>
      <c r="E72" s="31"/>
      <c r="F72" s="77" t="s">
        <v>162</v>
      </c>
      <c r="G72" s="77" t="s">
        <v>163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</row>
    <row r="73" spans="1:35" ht="15.75" thickBot="1">
      <c r="A73" s="76" t="s">
        <v>566</v>
      </c>
      <c r="B73" s="31">
        <f>IF(Расчет!$F$24="строительство КЛ-0,4 кВ, АСАБлУ-14х185",ДОП!G73,0)</f>
        <v>0</v>
      </c>
      <c r="C73" s="31">
        <f>IF(Расчет!$F$24="строительство КЛ-0,4 кВ, АСАБлУ-14х185",ДОП!F73,0)</f>
        <v>0</v>
      </c>
      <c r="D73" s="42" t="s">
        <v>24</v>
      </c>
      <c r="E73" s="31"/>
      <c r="F73" s="77" t="s">
        <v>164</v>
      </c>
      <c r="G73" s="77" t="s">
        <v>165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</row>
    <row r="74" spans="1:35" ht="15.75" thickBot="1">
      <c r="A74" s="76" t="s">
        <v>75</v>
      </c>
      <c r="B74" s="31">
        <f>IF(Расчет!$F$24="строительство КЛ-0,4 кВ, АСАБлУ-14x240",ДОП!G74,0)</f>
        <v>0</v>
      </c>
      <c r="C74" s="31">
        <f>IF(Расчет!$F$24="строительство КЛ-0,4 кВ, АСАБлУ-14x240",ДОП!F74,0)</f>
        <v>0</v>
      </c>
      <c r="D74" s="42" t="s">
        <v>24</v>
      </c>
      <c r="E74" s="31"/>
      <c r="F74" s="77" t="s">
        <v>166</v>
      </c>
      <c r="G74" s="77" t="s">
        <v>167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</row>
    <row r="75" spans="1:35" ht="15.75" thickBot="1">
      <c r="A75" s="78" t="s">
        <v>76</v>
      </c>
      <c r="B75" s="31">
        <f>IF(Расчет!$F$24="строительство КЛ-10(6) кВ, АСБ-10 3x120",ДОП!G75,0)</f>
        <v>0</v>
      </c>
      <c r="C75" s="31">
        <f>IF(Расчет!$F$24="строительство КЛ-10(6) кВ, АСБ-10 3x120",ДОП!F75,0)</f>
        <v>0</v>
      </c>
      <c r="D75" s="42" t="s">
        <v>24</v>
      </c>
      <c r="E75" s="31"/>
      <c r="F75" s="79" t="s">
        <v>168</v>
      </c>
      <c r="G75" s="79" t="s">
        <v>169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</row>
    <row r="76" spans="1:35" ht="409.6" thickBot="1">
      <c r="A76" s="92" t="s">
        <v>77</v>
      </c>
      <c r="B76" s="31">
        <f>IF(Расчет!$F$24="строительство КЛ-10(6) кВ, АСБ-10 3x120 (с проколом)",ДОП!G76,0)</f>
        <v>0</v>
      </c>
      <c r="C76" s="31">
        <f>IF(Расчет!$F$24="строительство КЛ-10(6) кВ, АСБ-10 3x120 (с проколом)",ДОП!F76,0)</f>
        <v>0</v>
      </c>
      <c r="D76" s="42" t="s">
        <v>24</v>
      </c>
      <c r="E76" s="31"/>
      <c r="F76" s="77" t="s">
        <v>170</v>
      </c>
      <c r="G76" s="77" t="s">
        <v>171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</row>
    <row r="77" spans="1:35" ht="15.75" thickBot="1">
      <c r="A77" s="78" t="s">
        <v>78</v>
      </c>
      <c r="B77" s="31">
        <f>IF(Расчет!$F$24="строительство КЛ-10(6) кВ, АСБ-10 3x150",ДОП!G77,0)</f>
        <v>0</v>
      </c>
      <c r="C77" s="31">
        <f>IF(Расчет!$F$24="строительство КЛ-10(6) кВ, АСБ-10 3x150",ДОП!F77,0)</f>
        <v>0</v>
      </c>
      <c r="D77" s="42" t="s">
        <v>24</v>
      </c>
      <c r="E77" s="31"/>
      <c r="F77" s="79" t="s">
        <v>172</v>
      </c>
      <c r="G77" s="79" t="s">
        <v>173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</row>
    <row r="78" spans="1:35" ht="409.6" thickBot="1">
      <c r="A78" s="92" t="s">
        <v>79</v>
      </c>
      <c r="B78" s="31">
        <f>IF(Расчет!$F$24="строительство КЛ-10(6) кВ, АСБ-10 3x150 (с проколом)",ДОП!G78,0)</f>
        <v>0</v>
      </c>
      <c r="C78" s="31">
        <f>IF(Расчет!$F$24="строительство КЛ-10(6) кВ, АСБ-10 3x150 (с проколом)",ДОП!F78,0)</f>
        <v>0</v>
      </c>
      <c r="D78" s="42" t="s">
        <v>24</v>
      </c>
      <c r="E78" s="31"/>
      <c r="F78" s="77" t="s">
        <v>174</v>
      </c>
      <c r="G78" s="77" t="s">
        <v>175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</row>
    <row r="79" spans="1:35" ht="15.75" thickBot="1">
      <c r="A79" s="78" t="s">
        <v>80</v>
      </c>
      <c r="B79" s="31">
        <f>IF(Расчет!$F$24="строительство КЛ-10(6) кВ, АСБ-10 3x18",ДОП!G79,0)</f>
        <v>0</v>
      </c>
      <c r="C79" s="31">
        <f>IF(Расчет!$F$24="строительство КЛ-10(6) кВ, АСБ-10 3x18",ДОП!F79,0)</f>
        <v>0</v>
      </c>
      <c r="D79" s="42" t="s">
        <v>24</v>
      </c>
      <c r="E79" s="31"/>
      <c r="F79" s="79" t="s">
        <v>176</v>
      </c>
      <c r="G79" s="79" t="s">
        <v>177</v>
      </c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</row>
    <row r="80" spans="1:35" ht="409.6" thickBot="1">
      <c r="A80" s="92" t="s">
        <v>585</v>
      </c>
      <c r="B80" s="31">
        <f>IF(Расчет!$F$24="строительство КЛ-10(6) кВ, АСБ-10 3x185 (с проколом)",ДОП!G80,0)</f>
        <v>0</v>
      </c>
      <c r="C80" s="31">
        <f>IF(Расчет!$F$24="строительство КЛ-10(6) кВ, АСБ-10 3x185 (с проколом)",ДОП!F80,0)</f>
        <v>0</v>
      </c>
      <c r="D80" s="42" t="s">
        <v>24</v>
      </c>
      <c r="E80" s="31"/>
      <c r="F80" s="77" t="s">
        <v>178</v>
      </c>
      <c r="G80" s="77" t="s">
        <v>179</v>
      </c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</row>
    <row r="81" spans="1:35" ht="15.75" thickBot="1">
      <c r="A81" s="78" t="s">
        <v>81</v>
      </c>
      <c r="B81" s="31">
        <f>IF(Расчет!$F$24="строительство КЛ-10(6) кВ, АСБ-10 3x240",ДОП!G81,0)</f>
        <v>0</v>
      </c>
      <c r="C81" s="31">
        <f>IF(Расчет!$F$24="строительство КЛ-10(6) кВ, АСБ-10 3x240",ДОП!F81,0)</f>
        <v>0</v>
      </c>
      <c r="D81" s="42" t="s">
        <v>24</v>
      </c>
      <c r="E81" s="31"/>
      <c r="F81" s="79" t="s">
        <v>180</v>
      </c>
      <c r="G81" s="79" t="s">
        <v>181</v>
      </c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</row>
    <row r="82" spans="1:35" ht="409.6" thickBot="1">
      <c r="A82" s="92" t="s">
        <v>82</v>
      </c>
      <c r="B82" s="31">
        <f>IF(Расчет!$F$24="строительство КЛ-10(6) кВ, АСБ-10 3x240 (с проколом)",ДОП!G82,0)</f>
        <v>0</v>
      </c>
      <c r="C82" s="31">
        <f>IF(Расчет!$F$24="строительство КЛ-10(6) кВ, АСБ-10 3x240 (с проколом)",ДОП!F82,0)</f>
        <v>0</v>
      </c>
      <c r="D82" s="42" t="s">
        <v>24</v>
      </c>
      <c r="E82" s="31"/>
      <c r="F82" s="77" t="s">
        <v>182</v>
      </c>
      <c r="G82" s="77" t="s">
        <v>183</v>
      </c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</row>
    <row r="83" spans="1:35" ht="16.5">
      <c r="A83" s="30"/>
      <c r="B83" s="69">
        <f>B61+B62+B63+B64+B65+B66+B67+B68+B69+B70+B71+B72+B73+B74+B75+B76+B77+B78+B79+B80+B81+B82</f>
        <v>0</v>
      </c>
      <c r="C83" s="69">
        <f>C61+C62+C63+C64+C65+C66+C67+C68+C69+C70+C71+C72+C73+C74+C75+C76+C77+C78+C79+C80+C81+C82</f>
        <v>0</v>
      </c>
      <c r="D83" s="42"/>
      <c r="E83" s="31"/>
      <c r="F83" s="82"/>
      <c r="G83" s="83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</row>
    <row r="84" spans="1:35" s="95" customFormat="1" ht="17.25" thickBot="1">
      <c r="A84" s="85" t="s">
        <v>40</v>
      </c>
      <c r="B84" s="54">
        <f>IF(Расчет!F10&gt;150,ДОП!C83,ДОП!B83)</f>
        <v>0</v>
      </c>
      <c r="C84" s="85"/>
      <c r="D84" s="86"/>
      <c r="E84" s="85"/>
      <c r="F84" s="93"/>
      <c r="G84" s="94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</row>
    <row r="85" spans="1:35" ht="15.75" thickBot="1">
      <c r="A85" s="96" t="s">
        <v>84</v>
      </c>
      <c r="B85" s="31">
        <f>IF(Расчет!F25="25 Мачтовая",ДОП!G85,0)</f>
        <v>0</v>
      </c>
      <c r="C85" s="31">
        <f>IF(Расчет!G25="25 Мачтовая",ДОП!F85,0)</f>
        <v>0</v>
      </c>
      <c r="D85" s="42" t="s">
        <v>40</v>
      </c>
      <c r="E85" s="31" t="s">
        <v>218</v>
      </c>
      <c r="F85" s="77" t="s">
        <v>184</v>
      </c>
      <c r="G85" s="77" t="s">
        <v>185</v>
      </c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</row>
    <row r="86" spans="1:35" ht="15.75" thickBot="1">
      <c r="A86" s="96" t="s">
        <v>85</v>
      </c>
      <c r="B86" s="31">
        <f>IF(Расчет!F25="40 Мачтовая",ДОП!G86,0)</f>
        <v>0</v>
      </c>
      <c r="C86" s="31">
        <f>IF(Расчет!G25="40 Мачтовая",ДОП!F86,0)</f>
        <v>0</v>
      </c>
      <c r="D86" s="42" t="s">
        <v>40</v>
      </c>
      <c r="E86" s="31" t="s">
        <v>219</v>
      </c>
      <c r="F86" s="77" t="s">
        <v>186</v>
      </c>
      <c r="G86" s="77" t="s">
        <v>187</v>
      </c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</row>
    <row r="87" spans="1:35" ht="15.75" thickBot="1">
      <c r="A87" s="96" t="s">
        <v>86</v>
      </c>
      <c r="B87" s="31">
        <f>IF(Расчет!F25="63 Мачтовая",ДОП!G87,0)</f>
        <v>0</v>
      </c>
      <c r="C87" s="31">
        <f>IF(Расчет!G25="63 Мачтовая",ДОП!F87,0)</f>
        <v>0</v>
      </c>
      <c r="D87" s="42" t="s">
        <v>40</v>
      </c>
      <c r="E87" s="31" t="s">
        <v>220</v>
      </c>
      <c r="F87" s="77" t="s">
        <v>188</v>
      </c>
      <c r="G87" s="77" t="s">
        <v>189</v>
      </c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</row>
    <row r="88" spans="1:35" ht="15.75" thickBot="1">
      <c r="A88" s="96" t="s">
        <v>87</v>
      </c>
      <c r="B88" s="31">
        <f>IF(Расчет!F25="160 Мачтовая",ДОП!G88,0)</f>
        <v>0</v>
      </c>
      <c r="C88" s="31">
        <f>IF(Расчет!G25="160 Мачтовая",ДОП!F88,0)</f>
        <v>0</v>
      </c>
      <c r="D88" s="42" t="s">
        <v>40</v>
      </c>
      <c r="E88" s="31" t="s">
        <v>221</v>
      </c>
      <c r="F88" s="77" t="s">
        <v>190</v>
      </c>
      <c r="G88" s="77" t="s">
        <v>191</v>
      </c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</row>
    <row r="89" spans="1:35" ht="409.6" thickBot="1">
      <c r="A89" s="97" t="s">
        <v>559</v>
      </c>
      <c r="B89" s="31">
        <f>IF(Расчет!F25="100 киоскового типа",ДОП!G89,0)</f>
        <v>0</v>
      </c>
      <c r="C89" s="31">
        <f>IF(Расчет!G25="100 киоскового типа",ДОП!F89,0)</f>
        <v>0</v>
      </c>
      <c r="D89" s="42" t="s">
        <v>40</v>
      </c>
      <c r="E89" s="31" t="s">
        <v>560</v>
      </c>
      <c r="F89" s="77" t="s">
        <v>192</v>
      </c>
      <c r="G89" s="77" t="s">
        <v>193</v>
      </c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</row>
    <row r="90" spans="1:35" ht="409.6" thickBot="1">
      <c r="A90" s="98" t="s">
        <v>89</v>
      </c>
      <c r="B90" s="31">
        <f>IF(Расчет!F25="160 киоскового типа",ДОП!G90,0)</f>
        <v>0</v>
      </c>
      <c r="C90" s="31">
        <f>IF(Расчет!G25="160 киоскового типа",ДОП!F90,0)</f>
        <v>0</v>
      </c>
      <c r="D90" s="42" t="s">
        <v>40</v>
      </c>
      <c r="E90" s="31" t="s">
        <v>561</v>
      </c>
      <c r="F90" s="77" t="s">
        <v>194</v>
      </c>
      <c r="G90" s="77" t="s">
        <v>195</v>
      </c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</row>
    <row r="91" spans="1:35" ht="409.6" thickBot="1">
      <c r="A91" s="98" t="s">
        <v>90</v>
      </c>
      <c r="B91" s="31">
        <f>IF(Расчет!F25="250 киоскового типа",ДОП!G91,0)</f>
        <v>0</v>
      </c>
      <c r="C91" s="31">
        <f>IF(Расчет!G25="250 киоскового типа",ДОП!F91,0)</f>
        <v>0</v>
      </c>
      <c r="D91" s="42" t="s">
        <v>40</v>
      </c>
      <c r="E91" s="31" t="s">
        <v>562</v>
      </c>
      <c r="F91" s="77" t="s">
        <v>196</v>
      </c>
      <c r="G91" s="77" t="s">
        <v>197</v>
      </c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</row>
    <row r="92" spans="1:35" ht="15.75" thickBot="1">
      <c r="A92" s="99" t="s">
        <v>91</v>
      </c>
      <c r="B92" s="31">
        <f>IF(Расчет!F25="400 киоскового типа",ДОП!G92,0)</f>
        <v>0</v>
      </c>
      <c r="C92" s="31">
        <f>IF(Расчет!G25="400 киоскового типа",ДОП!F92,0)</f>
        <v>0</v>
      </c>
      <c r="D92" s="42" t="s">
        <v>40</v>
      </c>
      <c r="E92" s="31" t="s">
        <v>563</v>
      </c>
      <c r="F92" s="79" t="s">
        <v>198</v>
      </c>
      <c r="G92" s="79" t="s">
        <v>199</v>
      </c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</row>
    <row r="93" spans="1:35" ht="409.6" thickBot="1">
      <c r="A93" s="98" t="s">
        <v>92</v>
      </c>
      <c r="B93" s="31">
        <f>IF(Расчет!F25="630 киоскового типа",ДОП!G93,0)</f>
        <v>0</v>
      </c>
      <c r="C93" s="31">
        <f>IF(Расчет!G25="630 киоскового типа",ДОП!F93,0)</f>
        <v>0</v>
      </c>
      <c r="D93" s="42" t="s">
        <v>40</v>
      </c>
      <c r="E93" s="31" t="s">
        <v>564</v>
      </c>
      <c r="F93" s="77" t="s">
        <v>200</v>
      </c>
      <c r="G93" s="77" t="s">
        <v>201</v>
      </c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</row>
    <row r="94" spans="1:35" ht="409.6" thickBot="1">
      <c r="A94" s="98" t="s">
        <v>93</v>
      </c>
      <c r="B94" s="31">
        <f>IF(Расчет!F25="1000 киоскового типа",ДОП!G94,0)</f>
        <v>0</v>
      </c>
      <c r="C94" s="31">
        <f>IF(Расчет!G25="1000 киоскового типа",ДОП!F94,0)</f>
        <v>0</v>
      </c>
      <c r="D94" s="42" t="s">
        <v>40</v>
      </c>
      <c r="E94" s="31" t="s">
        <v>565</v>
      </c>
      <c r="F94" s="77" t="s">
        <v>202</v>
      </c>
      <c r="G94" s="77" t="s">
        <v>203</v>
      </c>
      <c r="H94" s="30"/>
    </row>
    <row r="95" spans="1:35" ht="409.6" thickBot="1">
      <c r="A95" s="98" t="s">
        <v>94</v>
      </c>
      <c r="B95" s="31">
        <f>IF(Расчет!F25="2*250",ДОП!G95,0)</f>
        <v>0</v>
      </c>
      <c r="C95" s="31">
        <f>IF(Расчет!G25="2*250",ДОП!F95,0)</f>
        <v>0</v>
      </c>
      <c r="D95" s="42" t="s">
        <v>40</v>
      </c>
      <c r="E95" s="31" t="s">
        <v>214</v>
      </c>
      <c r="F95" s="77" t="s">
        <v>204</v>
      </c>
      <c r="G95" s="77" t="s">
        <v>205</v>
      </c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</row>
    <row r="96" spans="1:35" ht="409.6" thickBot="1">
      <c r="A96" s="98" t="s">
        <v>95</v>
      </c>
      <c r="B96" s="31">
        <f>IF(Расчет!F25="2*400",ДОП!G96,0)</f>
        <v>0</v>
      </c>
      <c r="C96" s="31">
        <f>IF(Расчет!G25="2*400",ДОП!F96,0)</f>
        <v>0</v>
      </c>
      <c r="D96" s="42" t="s">
        <v>40</v>
      </c>
      <c r="E96" s="31" t="s">
        <v>215</v>
      </c>
      <c r="F96" s="77" t="s">
        <v>206</v>
      </c>
      <c r="G96" s="77" t="s">
        <v>207</v>
      </c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</row>
    <row r="97" spans="1:35" ht="409.6" thickBot="1">
      <c r="A97" s="98" t="s">
        <v>96</v>
      </c>
      <c r="B97" s="31">
        <f>IF(Расчет!F25="2*630",ДОП!G97,0)</f>
        <v>0</v>
      </c>
      <c r="C97" s="31">
        <f>IF(Расчет!G25="2*630",ДОП!F97,0)</f>
        <v>0</v>
      </c>
      <c r="D97" s="42" t="s">
        <v>40</v>
      </c>
      <c r="E97" s="31" t="s">
        <v>216</v>
      </c>
      <c r="F97" s="77" t="s">
        <v>208</v>
      </c>
      <c r="G97" s="77" t="s">
        <v>209</v>
      </c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</row>
    <row r="98" spans="1:35" ht="409.6" thickBot="1">
      <c r="A98" s="98" t="s">
        <v>97</v>
      </c>
      <c r="B98" s="31">
        <f>IF(Расчет!F25="2*1000",ДОП!G98,0)</f>
        <v>0</v>
      </c>
      <c r="C98" s="31">
        <f>IF(Расчет!G25="2*1000",ДОП!F98,0)</f>
        <v>0</v>
      </c>
      <c r="D98" s="42" t="s">
        <v>40</v>
      </c>
      <c r="E98" s="31" t="s">
        <v>217</v>
      </c>
      <c r="F98" s="77" t="s">
        <v>210</v>
      </c>
      <c r="G98" s="77" t="s">
        <v>211</v>
      </c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</row>
    <row r="99" spans="1:35">
      <c r="B99" s="100">
        <f>B85+B86+B87+B88+B89+B90+B91+B92+B93+B94+B95+B96+B97+B98</f>
        <v>0</v>
      </c>
      <c r="C99" s="100">
        <f>C85+C86+C87+C88+C89+C90+C91+C92+C93+C94+C95+C96+C97+C98</f>
        <v>0</v>
      </c>
    </row>
    <row r="100" spans="1:35">
      <c r="B100" s="54">
        <f>IF(Расчет!F10&gt;150,ДОП!C99,ДОП!B99)</f>
        <v>0</v>
      </c>
    </row>
    <row r="102" spans="1:35" ht="39.75" customHeight="1">
      <c r="A102" s="175" t="s">
        <v>553</v>
      </c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</row>
    <row r="103" spans="1:35" ht="15" thickBot="1">
      <c r="A103" s="62" t="s">
        <v>23</v>
      </c>
      <c r="B103" s="101">
        <f>B138</f>
        <v>0</v>
      </c>
      <c r="C103" s="101">
        <f>C138</f>
        <v>0</v>
      </c>
    </row>
    <row r="104" spans="1:35" ht="15" thickBot="1">
      <c r="A104" s="62" t="s">
        <v>24</v>
      </c>
      <c r="B104" s="101">
        <f>B181</f>
        <v>0</v>
      </c>
      <c r="C104" s="101">
        <f>C181</f>
        <v>0</v>
      </c>
      <c r="K104" s="77" t="s">
        <v>556</v>
      </c>
    </row>
    <row r="105" spans="1:35" ht="15" thickBot="1">
      <c r="A105" s="62" t="s">
        <v>40</v>
      </c>
      <c r="B105" s="102">
        <f>B245</f>
        <v>0</v>
      </c>
      <c r="C105" s="102">
        <f>C245</f>
        <v>0</v>
      </c>
      <c r="K105" s="77" t="s">
        <v>557</v>
      </c>
    </row>
    <row r="106" spans="1:35" ht="15" thickBot="1">
      <c r="K106" s="103"/>
    </row>
    <row r="107" spans="1:35" ht="15" thickBot="1">
      <c r="F107" s="32" t="s">
        <v>34</v>
      </c>
      <c r="G107" s="32" t="s">
        <v>582</v>
      </c>
      <c r="K107" s="77" t="s">
        <v>558</v>
      </c>
    </row>
    <row r="108" spans="1:35" ht="15" thickBot="1">
      <c r="A108" s="99" t="s">
        <v>43</v>
      </c>
      <c r="B108" s="31">
        <f>IF(Расчет!$F$17="строительство ВЛИ-0,4 кВ, СИП2 3x16",ДОП!G108,0)</f>
        <v>0</v>
      </c>
      <c r="C108" s="31">
        <f>IF(Расчет!$F$17="строительство ВЛИ-0,4 кВ, СИП2 3x16",ДОП!F108,0)</f>
        <v>0</v>
      </c>
      <c r="F108" s="79" t="s">
        <v>304</v>
      </c>
      <c r="G108" s="79" t="s">
        <v>305</v>
      </c>
    </row>
    <row r="109" spans="1:35" ht="15" thickBot="1">
      <c r="A109" s="99" t="s">
        <v>44</v>
      </c>
      <c r="B109" s="31">
        <f>IF(Расчет!$F$17="строительство ВЛИ-0,4 кВ, СИП2 3x25",ДОП!G109,0)</f>
        <v>0</v>
      </c>
      <c r="C109" s="31">
        <f>IF(Расчет!$F$17="строительство ВЛИ-0,4 кВ, СИП2 3x25",ДОП!F109,0)</f>
        <v>0</v>
      </c>
      <c r="F109" s="79" t="s">
        <v>306</v>
      </c>
      <c r="G109" s="79" t="s">
        <v>307</v>
      </c>
    </row>
    <row r="110" spans="1:35" ht="15" thickBot="1">
      <c r="A110" s="99" t="s">
        <v>45</v>
      </c>
      <c r="B110" s="31">
        <f>IF(Расчет!$F$17="строительство ВЛИ-0,4 кВ, СИП2 3x35",ДОП!G110,0)</f>
        <v>0</v>
      </c>
      <c r="C110" s="31">
        <f>IF(Расчет!$F$17="строительство ВЛИ-0,4 кВ, СИП2 3x35",ДОП!F110,0)</f>
        <v>0</v>
      </c>
      <c r="F110" s="79" t="s">
        <v>308</v>
      </c>
      <c r="G110" s="79" t="s">
        <v>309</v>
      </c>
    </row>
    <row r="111" spans="1:35" ht="15" thickBot="1">
      <c r="A111" s="99" t="s">
        <v>46</v>
      </c>
      <c r="B111" s="31">
        <f>IF(Расчет!$F$17="строительство ВЛИ-0,4 кВ, СИП2 3x50",ДОП!G111,0)</f>
        <v>0</v>
      </c>
      <c r="C111" s="31">
        <f>IF(Расчет!$F$17="строительство ВЛИ-0,4 кВ, СИП2 3x50",ДОП!F111,0)</f>
        <v>0</v>
      </c>
      <c r="F111" s="79" t="s">
        <v>310</v>
      </c>
      <c r="G111" s="79" t="s">
        <v>311</v>
      </c>
    </row>
    <row r="112" spans="1:35" ht="15" thickBot="1">
      <c r="A112" s="99" t="s">
        <v>47</v>
      </c>
      <c r="B112" s="31">
        <f>IF(Расчет!$F$17="строительство ВЛИ-0,4 кВ, СИП2 3x70",ДОП!G112,0)</f>
        <v>0</v>
      </c>
      <c r="C112" s="31">
        <f>IF(Расчет!$F$17="строительство ВЛИ-0,4 кВ, СИП2 3x70",ДОП!F112,0)</f>
        <v>0</v>
      </c>
      <c r="F112" s="79" t="s">
        <v>312</v>
      </c>
      <c r="G112" s="79" t="s">
        <v>313</v>
      </c>
    </row>
    <row r="113" spans="1:7" ht="15" thickBot="1">
      <c r="A113" s="99" t="s">
        <v>48</v>
      </c>
      <c r="B113" s="31">
        <f>IF(Расчет!$F$17="строительство ВЛИ-0,4 кВ, СИП2 3x95",ДОП!G113,0)</f>
        <v>0</v>
      </c>
      <c r="C113" s="31">
        <f>IF(Расчет!$F$17="строительство ВЛИ-0,4 кВ, СИП2 3x95",ДОП!F113,0)</f>
        <v>0</v>
      </c>
      <c r="F113" s="79" t="s">
        <v>314</v>
      </c>
      <c r="G113" s="79" t="s">
        <v>315</v>
      </c>
    </row>
    <row r="114" spans="1:7" ht="15" thickBot="1">
      <c r="A114" s="99" t="s">
        <v>49</v>
      </c>
      <c r="B114" s="31">
        <f>IF(Расчет!$F$17="строительство ВЛИ-0,4 кВ, СИП2 3x120",ДОП!G114,0)</f>
        <v>0</v>
      </c>
      <c r="C114" s="31">
        <f>IF(Расчет!$F$17="строительство ВЛИ-0,4 кВ, СИП2 3x120",ДОП!F114,0)</f>
        <v>0</v>
      </c>
      <c r="F114" s="79" t="s">
        <v>316</v>
      </c>
      <c r="G114" s="79" t="s">
        <v>317</v>
      </c>
    </row>
    <row r="115" spans="1:7" ht="15" thickBot="1">
      <c r="A115" s="99" t="s">
        <v>50</v>
      </c>
      <c r="B115" s="31">
        <f>IF(Расчет!$F$17="строительство ВЛИ-0,4 кВ, СИП4-2х16",ДОП!G115,0)</f>
        <v>0</v>
      </c>
      <c r="C115" s="31">
        <f>IF(Расчет!$F$17="строительство ВЛИ-0,4 кВ, СИП4-2х16",ДОП!F115,0)</f>
        <v>0</v>
      </c>
      <c r="F115" s="79" t="s">
        <v>318</v>
      </c>
      <c r="G115" s="79" t="s">
        <v>319</v>
      </c>
    </row>
    <row r="116" spans="1:7" ht="15" thickBot="1">
      <c r="A116" s="99" t="s">
        <v>51</v>
      </c>
      <c r="B116" s="31">
        <f>IF(Расчет!$F$17="строительство ВЛИ-0,4 кВ, СИП4-4х25",ДОП!G116,0)</f>
        <v>0</v>
      </c>
      <c r="C116" s="31">
        <f>IF(Расчет!$F$17="строительство ВЛИ-0,4 кВ, СИП4-4х25",ДОП!F116,0)</f>
        <v>0</v>
      </c>
      <c r="F116" s="79" t="s">
        <v>320</v>
      </c>
      <c r="G116" s="79" t="s">
        <v>321</v>
      </c>
    </row>
    <row r="117" spans="1:7" ht="15" thickBot="1">
      <c r="A117" s="99" t="s">
        <v>52</v>
      </c>
      <c r="B117" s="31">
        <f>IF(Расчет!$F$17="строительство ВЛИ-0,4 кВ, СИП4-4х35",ДОП!G117,0)</f>
        <v>0</v>
      </c>
      <c r="C117" s="31">
        <f>IF(Расчет!$F$17="строительство ВЛИ-0,4 кВ, СИП4-4х35",ДОП!F117,0)</f>
        <v>0</v>
      </c>
      <c r="F117" s="79" t="s">
        <v>322</v>
      </c>
      <c r="G117" s="79" t="s">
        <v>323</v>
      </c>
    </row>
    <row r="118" spans="1:7" ht="15" thickBot="1">
      <c r="A118" s="99" t="s">
        <v>53</v>
      </c>
      <c r="B118" s="31">
        <f>IF(Расчет!$F$17="строительство ВЛИ-0,4 кВ, СИП4-4х50",ДОП!G118,0)</f>
        <v>0</v>
      </c>
      <c r="C118" s="31">
        <f>IF(Расчет!$F$17="строительство ВЛИ-0,4 кВ, СИП4-4х50",ДОП!F118,0)</f>
        <v>0</v>
      </c>
      <c r="F118" s="79" t="s">
        <v>324</v>
      </c>
      <c r="G118" s="79" t="s">
        <v>325</v>
      </c>
    </row>
    <row r="119" spans="1:7" ht="15" thickBot="1">
      <c r="A119" s="99" t="s">
        <v>54</v>
      </c>
      <c r="B119" s="31">
        <f>IF(Расчет!$F$17="строительство ВЛИ-0,4 кВ, СИП4-4х70",ДОП!G119,0)</f>
        <v>0</v>
      </c>
      <c r="C119" s="31">
        <f>IF(Расчет!$F$17="строительство ВЛИ-0,4 кВ, СИП4-4х70",ДОП!F119,0)</f>
        <v>0</v>
      </c>
      <c r="F119" s="79" t="s">
        <v>326</v>
      </c>
      <c r="G119" s="79" t="s">
        <v>327</v>
      </c>
    </row>
    <row r="120" spans="1:7" ht="15" thickBot="1">
      <c r="A120" s="99" t="s">
        <v>55</v>
      </c>
      <c r="B120" s="31">
        <f>IF(Расчет!$F$17="строительство ВЛИ-0,4 кВ, СИП4-4х95",ДОП!G120,0)</f>
        <v>0</v>
      </c>
      <c r="C120" s="31">
        <f>IF(Расчет!$F$17="строительство ВЛИ-0,4 кВ, СИП4-4х95",ДОП!F120,0)</f>
        <v>0</v>
      </c>
      <c r="F120" s="79" t="s">
        <v>328</v>
      </c>
      <c r="G120" s="79" t="s">
        <v>329</v>
      </c>
    </row>
    <row r="121" spans="1:7" ht="15" thickBot="1">
      <c r="A121" s="96" t="s">
        <v>56</v>
      </c>
      <c r="B121" s="31">
        <f>IF(Расчет!$F$17="строительство ВЛЗ-10 кВ, СИПЗ-1х35",ДОП!G121,0)</f>
        <v>0</v>
      </c>
      <c r="C121" s="31">
        <f>IF(Расчет!$F$17="строительство ВЛЗ-10 кВ, СИПЗ-1х35",ДОП!F121,0)</f>
        <v>0</v>
      </c>
      <c r="F121" s="77" t="s">
        <v>330</v>
      </c>
      <c r="G121" s="77" t="s">
        <v>331</v>
      </c>
    </row>
    <row r="122" spans="1:7" ht="15" thickBot="1">
      <c r="A122" s="96" t="s">
        <v>57</v>
      </c>
      <c r="B122" s="31">
        <f>IF(Расчет!$F$17="строительство ВЛЗ-10 кВ, СИПЗ-1х50",ДОП!G122,0)</f>
        <v>0</v>
      </c>
      <c r="C122" s="31">
        <f>IF(Расчет!$F$17="строительство ВЛЗ-10 кВ, СИПЗ-1х50",ДОП!F122,0)</f>
        <v>0</v>
      </c>
      <c r="F122" s="77" t="s">
        <v>332</v>
      </c>
      <c r="G122" s="77" t="s">
        <v>333</v>
      </c>
    </row>
    <row r="123" spans="1:7" ht="15" thickBot="1">
      <c r="A123" s="96" t="s">
        <v>58</v>
      </c>
      <c r="B123" s="31">
        <f>IF(Расчет!$F$17="строительство ВЛЗ-10 кВ, СИПЗ-1х70",ДОП!G123,0)</f>
        <v>0</v>
      </c>
      <c r="C123" s="31">
        <f>IF(Расчет!$F$17="строительство ВЛЗ-10 кВ, СИПЗ-1х70",ДОП!F123,0)</f>
        <v>0</v>
      </c>
      <c r="F123" s="77" t="s">
        <v>334</v>
      </c>
      <c r="G123" s="77" t="s">
        <v>335</v>
      </c>
    </row>
    <row r="124" spans="1:7" ht="15" thickBot="1">
      <c r="A124" s="96" t="s">
        <v>59</v>
      </c>
      <c r="B124" s="31">
        <f>IF(Расчет!$F$17="строительство ВЛЗ-10 кВ, СИПЗ-1х95",ДОП!G124,0)</f>
        <v>0</v>
      </c>
      <c r="C124" s="31">
        <f>IF(Расчет!$F$17="строительство ВЛЗ-10 кВ, СИПЗ-1х95",ДОП!F124,0)</f>
        <v>0</v>
      </c>
      <c r="F124" s="104" t="s">
        <v>336</v>
      </c>
      <c r="G124" s="77" t="s">
        <v>337</v>
      </c>
    </row>
    <row r="125" spans="1:7" ht="15" thickBot="1">
      <c r="A125" s="96" t="s">
        <v>224</v>
      </c>
      <c r="B125" s="31">
        <f>IF(Расчет!$F$17="строительство ВЛЗ-10 кВ, СИПЗ-1х120",ДОП!G125,0)</f>
        <v>0</v>
      </c>
      <c r="C125" s="31">
        <f>IF(Расчет!$F$17="строительство ВЛЗ-10 кВ, СИПЗ-1х120",ДОП!F125,0)</f>
        <v>0</v>
      </c>
      <c r="F125" s="77" t="s">
        <v>338</v>
      </c>
      <c r="G125" s="77" t="s">
        <v>339</v>
      </c>
    </row>
    <row r="126" spans="1:7" ht="15" thickBot="1">
      <c r="A126" s="96" t="s">
        <v>60</v>
      </c>
      <c r="B126" s="31">
        <f>IF(Расчет!$F$17="строительство ВЛЗ-10 кВ, АС-50",ДОП!G126,0)</f>
        <v>0</v>
      </c>
      <c r="C126" s="31">
        <f>IF(Расчет!$F$17="строительство ВЛЗ-10 кВ, АС-50",ДОП!F126,0)</f>
        <v>0</v>
      </c>
      <c r="F126" s="77" t="s">
        <v>340</v>
      </c>
      <c r="G126" s="77" t="s">
        <v>341</v>
      </c>
    </row>
    <row r="127" spans="1:7" ht="15" thickBot="1">
      <c r="A127" s="96" t="s">
        <v>61</v>
      </c>
      <c r="B127" s="31">
        <f>IF(Расчет!$F$17="строительство ВЛЗ-10 кВ, АС-70",ДОП!G127,0)</f>
        <v>0</v>
      </c>
      <c r="C127" s="31">
        <f>IF(Расчет!$F$17="строительство ВЛЗ-10 кВ, АС-70",ДОП!F127,0)</f>
        <v>0</v>
      </c>
      <c r="F127" s="105" t="s">
        <v>342</v>
      </c>
      <c r="G127" s="77" t="s">
        <v>343</v>
      </c>
    </row>
    <row r="128" spans="1:7" ht="15" thickBot="1">
      <c r="A128" s="96" t="s">
        <v>62</v>
      </c>
      <c r="B128" s="31">
        <f>IF(Расчет!$F$17="строительство ВЛЗ-10 кВ, АС-95",ДОП!G128,0)</f>
        <v>0</v>
      </c>
      <c r="C128" s="31">
        <f>IF(Расчет!$F$17="строительство ВЛЗ-10 кВ, АС-95",ДОП!F128,0)</f>
        <v>0</v>
      </c>
      <c r="F128" s="105" t="s">
        <v>344</v>
      </c>
      <c r="G128" s="77" t="s">
        <v>345</v>
      </c>
    </row>
    <row r="129" spans="1:7" ht="409.6" thickBot="1">
      <c r="A129" s="106" t="s">
        <v>583</v>
      </c>
      <c r="B129" s="31"/>
      <c r="C129" s="31"/>
      <c r="F129" s="105" t="s">
        <v>346</v>
      </c>
      <c r="G129" s="77" t="s">
        <v>347</v>
      </c>
    </row>
    <row r="130" spans="1:7" s="108" customFormat="1" ht="409.6" hidden="1" thickBot="1">
      <c r="A130" s="107" t="s">
        <v>225</v>
      </c>
      <c r="F130" s="109" t="s">
        <v>348</v>
      </c>
      <c r="G130" s="110" t="s">
        <v>349</v>
      </c>
    </row>
    <row r="131" spans="1:7" s="108" customFormat="1" ht="409.6" hidden="1" thickBot="1">
      <c r="A131" s="107" t="s">
        <v>226</v>
      </c>
      <c r="F131" s="109" t="s">
        <v>350</v>
      </c>
      <c r="G131" s="110" t="s">
        <v>351</v>
      </c>
    </row>
    <row r="132" spans="1:7" s="108" customFormat="1" ht="409.6" hidden="1" thickBot="1">
      <c r="A132" s="107" t="s">
        <v>227</v>
      </c>
      <c r="F132" s="109" t="s">
        <v>352</v>
      </c>
      <c r="G132" s="110" t="s">
        <v>353</v>
      </c>
    </row>
    <row r="133" spans="1:7" s="108" customFormat="1" ht="409.6" hidden="1" thickBot="1">
      <c r="A133" s="107" t="s">
        <v>228</v>
      </c>
      <c r="F133" s="109" t="s">
        <v>354</v>
      </c>
      <c r="G133" s="110" t="s">
        <v>355</v>
      </c>
    </row>
    <row r="134" spans="1:7" s="108" customFormat="1" ht="409.6" hidden="1" thickBot="1">
      <c r="A134" s="107" t="s">
        <v>229</v>
      </c>
      <c r="F134" s="109" t="s">
        <v>356</v>
      </c>
      <c r="G134" s="110" t="s">
        <v>357</v>
      </c>
    </row>
    <row r="135" spans="1:7" s="108" customFormat="1" ht="409.6" hidden="1" thickBot="1">
      <c r="A135" s="107" t="s">
        <v>230</v>
      </c>
      <c r="F135" s="109" t="s">
        <v>358</v>
      </c>
      <c r="G135" s="110" t="s">
        <v>359</v>
      </c>
    </row>
    <row r="136" spans="1:7" s="108" customFormat="1" ht="409.6" hidden="1" thickBot="1">
      <c r="A136" s="107" t="s">
        <v>231</v>
      </c>
      <c r="F136" s="110" t="s">
        <v>360</v>
      </c>
      <c r="G136" s="110" t="s">
        <v>361</v>
      </c>
    </row>
    <row r="137" spans="1:7" s="108" customFormat="1" ht="409.6" hidden="1" thickBot="1">
      <c r="A137" s="107" t="s">
        <v>232</v>
      </c>
      <c r="F137" s="110" t="s">
        <v>362</v>
      </c>
      <c r="G137" s="110" t="s">
        <v>363</v>
      </c>
    </row>
    <row r="138" spans="1:7" ht="15" thickBot="1">
      <c r="B138" s="111">
        <f>B108+B109+B111+B110+B112+B113+B114+B115+B116+B117+B118+B119+B120+B121+B122+B123+B124+B125+B126+B127+B128+B129</f>
        <v>0</v>
      </c>
      <c r="C138" s="111">
        <f>C108+C109+C111+C110+C112+C113+C114+C115+C116+C117+C118+C119+C120+C121+C122+C123+C124+C125+C126+C127+C128+C129</f>
        <v>0</v>
      </c>
    </row>
    <row r="139" spans="1:7" s="112" customFormat="1">
      <c r="B139" s="54">
        <f>IF(Расчет!F10&gt;150,ДОП!C138,ДОП!B138)</f>
        <v>0</v>
      </c>
    </row>
    <row r="140" spans="1:7" ht="15" thickBot="1"/>
    <row r="141" spans="1:7" ht="15" thickBot="1">
      <c r="A141" s="99" t="s">
        <v>63</v>
      </c>
      <c r="B141" s="31">
        <f>IF(Расчет!$F$24="строительство КЛ-0,4 кВ, АВБбШв 4x25",ДОП!G141,0)</f>
        <v>0</v>
      </c>
      <c r="C141" s="31">
        <f>IF(Расчет!$F$24="строительство КЛ-0,4 кВ, АВБбШв 4x25",ДОП!F141,0)</f>
        <v>0</v>
      </c>
      <c r="F141" s="79" t="s">
        <v>364</v>
      </c>
      <c r="G141" s="79" t="s">
        <v>365</v>
      </c>
    </row>
    <row r="142" spans="1:7" ht="15" thickBot="1">
      <c r="A142" s="99" t="s">
        <v>64</v>
      </c>
      <c r="B142" s="31">
        <f>IF(Расчет!$F$24="строительство КЛ-0,4 кВ, АВБбШв 4x120",ДОП!G142,0)</f>
        <v>0</v>
      </c>
      <c r="C142" s="31">
        <f>IF(Расчет!$F$24="строительство КЛ-0,4 кВ, АВБбШв 4x120",ДОП!F142,0)</f>
        <v>0</v>
      </c>
      <c r="F142" s="79" t="s">
        <v>366</v>
      </c>
      <c r="G142" s="79" t="s">
        <v>367</v>
      </c>
    </row>
    <row r="143" spans="1:7" ht="15" thickBot="1">
      <c r="A143" s="99" t="s">
        <v>65</v>
      </c>
      <c r="B143" s="31">
        <f>IF(Расчет!$F$24="строительство КЛ-0,4 кВ, АСБ-1 4x120",ДОП!G143,0)</f>
        <v>0</v>
      </c>
      <c r="C143" s="31">
        <f>IF(Расчет!$F$24="строительство КЛ-0,4 кВ, АСБ-1 4x120",ДОП!F143,0)</f>
        <v>0</v>
      </c>
      <c r="F143" s="113" t="s">
        <v>368</v>
      </c>
      <c r="G143" s="79" t="s">
        <v>369</v>
      </c>
    </row>
    <row r="144" spans="1:7" ht="15" thickBot="1">
      <c r="A144" s="99" t="s">
        <v>66</v>
      </c>
      <c r="B144" s="31">
        <f>IF(Расчет!$F$24="строительство КЛ-0,4 кВ, АСБ-1 4x120 (с проколом)",ДОП!G144,0)</f>
        <v>0</v>
      </c>
      <c r="C144" s="31">
        <f>IF(Расчет!$F$24="строительство КЛ-0,4 кВ, АСБ-1 4x120 (с проколом)",ДОП!F144,0)</f>
        <v>0</v>
      </c>
      <c r="F144" s="79" t="s">
        <v>370</v>
      </c>
      <c r="G144" s="79" t="s">
        <v>371</v>
      </c>
    </row>
    <row r="145" spans="1:7" ht="15" thickBot="1">
      <c r="A145" s="99" t="s">
        <v>67</v>
      </c>
      <c r="B145" s="31">
        <f>IF(Расчет!$F$24="строительство КЛ-0,4 кВ, АСБ-1 4x150",ДОП!G145,0)</f>
        <v>0</v>
      </c>
      <c r="C145" s="31">
        <f>IF(Расчет!$F$24="строительство КЛ-0,4 кВ, АСБ-1 4x150",ДОП!F145,0)</f>
        <v>0</v>
      </c>
      <c r="F145" s="113" t="s">
        <v>372</v>
      </c>
      <c r="G145" s="79" t="s">
        <v>373</v>
      </c>
    </row>
    <row r="146" spans="1:7" ht="15" thickBot="1">
      <c r="A146" s="99" t="s">
        <v>68</v>
      </c>
      <c r="B146" s="31">
        <f>IF(Расчет!$F$24="строительство КЛ-0,4 кВ, АСБ-1 4x150 (с проколом)",ДОП!G146,0)</f>
        <v>0</v>
      </c>
      <c r="C146" s="31">
        <f>IF(Расчет!$F$24="строительство КЛ-0,4 кВ, АСБ-1 4x150 (с проколом)",ДОП!F146,0)</f>
        <v>0</v>
      </c>
      <c r="F146" s="113" t="s">
        <v>374</v>
      </c>
      <c r="G146" s="79" t="s">
        <v>375</v>
      </c>
    </row>
    <row r="147" spans="1:7" ht="15" thickBot="1">
      <c r="A147" s="99" t="s">
        <v>69</v>
      </c>
      <c r="B147" s="31">
        <f>IF(Расчет!$F$24="строительство КЛ-0,4 кВ, АСБ-1 4x185",ДОП!G147,0)</f>
        <v>0</v>
      </c>
      <c r="C147" s="31">
        <f>IF(Расчет!$F$24="строительство КЛ-0,4 кВ, АСБ-1 4x185",ДОП!F147,0)</f>
        <v>0</v>
      </c>
      <c r="F147" s="113" t="s">
        <v>376</v>
      </c>
      <c r="G147" s="79" t="s">
        <v>377</v>
      </c>
    </row>
    <row r="148" spans="1:7" ht="15" thickBot="1">
      <c r="A148" s="99" t="s">
        <v>233</v>
      </c>
      <c r="B148" s="31">
        <f>IF(Расчет!$F$24="строительство КЛ-0,4 кВ, АСБ-1 4x185 (с проколом)",ДОП!G148,0)</f>
        <v>0</v>
      </c>
      <c r="C148" s="31">
        <f>IF(Расчет!$F$24="строительство КЛ-0,4 кВ, АСБ-1 4x185 (с проколом)",ДОП!F148,0)</f>
        <v>0</v>
      </c>
      <c r="F148" s="113" t="s">
        <v>378</v>
      </c>
      <c r="G148" s="79" t="s">
        <v>379</v>
      </c>
    </row>
    <row r="149" spans="1:7" ht="15" thickBot="1">
      <c r="A149" s="99" t="s">
        <v>70</v>
      </c>
      <c r="B149" s="31">
        <f>IF(Расчет!$F$24="строительство КЛ-0,4 кВ, АСБ-1 4x240",ДОП!G149,0)</f>
        <v>0</v>
      </c>
      <c r="C149" s="31">
        <f>IF(Расчет!$F$24="строительство КЛ-0,4 кВ, АСБ-1 4x240",ДОП!F149,0)</f>
        <v>0</v>
      </c>
      <c r="F149" s="113" t="s">
        <v>380</v>
      </c>
      <c r="G149" s="79" t="s">
        <v>381</v>
      </c>
    </row>
    <row r="150" spans="1:7" ht="15" thickBot="1">
      <c r="A150" s="99" t="s">
        <v>71</v>
      </c>
      <c r="B150" s="31">
        <f>IF(Расчет!$F$24="строительство КЛ-0,4 кВ, АСБ-1 4x240 (с проколом)",ДОП!G150,0)</f>
        <v>0</v>
      </c>
      <c r="C150" s="31">
        <f>IF(Расчет!$F$24="строительство КЛ-0,4 кВ, АСБ-1 4x240 (с проколом)",ДОП!F150,0)</f>
        <v>0</v>
      </c>
      <c r="F150" s="113" t="s">
        <v>382</v>
      </c>
      <c r="G150" s="79" t="s">
        <v>383</v>
      </c>
    </row>
    <row r="151" spans="1:7" ht="15" thickBot="1">
      <c r="A151" s="96" t="s">
        <v>234</v>
      </c>
      <c r="B151" s="31">
        <f>IF(Расчет!$F$24="строительство КЛ-0,4 кВ, АСАБлУ-14x70",ДОП!G151,0)</f>
        <v>0</v>
      </c>
      <c r="C151" s="31">
        <f>IF(Расчет!$F$24="строительство КЛ-0,4 кВ, АСАБлУ-14x70",ДОП!F151,0)</f>
        <v>0</v>
      </c>
      <c r="F151" s="105" t="s">
        <v>384</v>
      </c>
      <c r="G151" s="77" t="s">
        <v>385</v>
      </c>
    </row>
    <row r="152" spans="1:7" ht="15" thickBot="1">
      <c r="A152" s="96" t="s">
        <v>235</v>
      </c>
      <c r="B152" s="31">
        <f>IF(Расчет!$F$24="строительство КЛ-0,4 кВ, АСАБлУ-14x120",ДОП!G152,0)</f>
        <v>0</v>
      </c>
      <c r="C152" s="31">
        <f>IF(Расчет!$F$24="строительство КЛ-0,4 кВ, АСАБлУ-14x120",ДОП!F152,0)</f>
        <v>0</v>
      </c>
      <c r="F152" s="105" t="s">
        <v>386</v>
      </c>
      <c r="G152" s="77" t="s">
        <v>387</v>
      </c>
    </row>
    <row r="153" spans="1:7" ht="15" thickBot="1">
      <c r="A153" s="96" t="s">
        <v>74</v>
      </c>
      <c r="B153" s="31">
        <f>IF(Расчет!$F$24="строительство КЛ-0,4 кВ, АСАБлУ-14х185",ДОП!G153,0)</f>
        <v>0</v>
      </c>
      <c r="C153" s="31">
        <f>IF(Расчет!$F$24="строительство КЛ-0,4 кВ, АСАБлУ-14х185",ДОП!F153,0)</f>
        <v>0</v>
      </c>
      <c r="F153" s="105" t="s">
        <v>388</v>
      </c>
      <c r="G153" s="77" t="s">
        <v>389</v>
      </c>
    </row>
    <row r="154" spans="1:7" ht="15" thickBot="1">
      <c r="A154" s="96" t="s">
        <v>236</v>
      </c>
      <c r="B154" s="31">
        <f>IF(Расчет!$F$24="строительство КЛ-0,4 кВ, АСАБлУ-14x240",ДОП!G154,0)</f>
        <v>0</v>
      </c>
      <c r="C154" s="31">
        <f>IF(Расчет!$F$24="строительство КЛ-0,4 кВ, АСАБлУ-14x240",ДОП!F154,0)</f>
        <v>0</v>
      </c>
      <c r="F154" s="105" t="s">
        <v>390</v>
      </c>
      <c r="G154" s="77" t="s">
        <v>391</v>
      </c>
    </row>
    <row r="155" spans="1:7" ht="15" thickBot="1">
      <c r="A155" s="99" t="s">
        <v>76</v>
      </c>
      <c r="B155" s="31">
        <f>IF(Расчет!$F$24="строительство КЛ-10(6) кВ, АСБ-10 3x120",ДОП!G155,0)</f>
        <v>0</v>
      </c>
      <c r="C155" s="31">
        <f>IF(Расчет!$F$24="строительство КЛ-10(6) кВ, АСБ-10 3x120",ДОП!F155,0)</f>
        <v>0</v>
      </c>
      <c r="F155" s="113" t="s">
        <v>392</v>
      </c>
      <c r="G155" s="79" t="s">
        <v>393</v>
      </c>
    </row>
    <row r="156" spans="1:7" ht="15" thickBot="1">
      <c r="A156" s="99" t="s">
        <v>77</v>
      </c>
      <c r="B156" s="31">
        <f>IF(Расчет!$F$24="строительство КЛ-10(6) кВ, АСБ-10 3x120 (с проколом)",ДОП!G156,0)</f>
        <v>0</v>
      </c>
      <c r="C156" s="31">
        <f>IF(Расчет!$F$24="строительство КЛ-10(6) кВ, АСБ-10 3x120 (с проколом)",ДОП!F156,0)</f>
        <v>0</v>
      </c>
      <c r="F156" s="113" t="s">
        <v>394</v>
      </c>
      <c r="G156" s="79" t="s">
        <v>395</v>
      </c>
    </row>
    <row r="157" spans="1:7" ht="15" thickBot="1">
      <c r="A157" s="99" t="s">
        <v>78</v>
      </c>
      <c r="B157" s="31">
        <f>IF(Расчет!$F$24="строительство КЛ-10(6) кВ, АСБ-10 3x150",ДОП!G157,0)</f>
        <v>0</v>
      </c>
      <c r="C157" s="31">
        <f>IF(Расчет!$F$24="строительство КЛ-10(6) кВ, АСБ-10 3x150",ДОП!F157,0)</f>
        <v>0</v>
      </c>
      <c r="F157" s="113" t="s">
        <v>396</v>
      </c>
      <c r="G157" s="79" t="s">
        <v>397</v>
      </c>
    </row>
    <row r="158" spans="1:7" ht="15" thickBot="1">
      <c r="A158" s="99" t="s">
        <v>79</v>
      </c>
      <c r="B158" s="31">
        <f>IF(Расчет!$F$24="строительство КЛ-10(6) кВ, АСБ-10 3x150 (с проколом)",ДОП!G158,0)</f>
        <v>0</v>
      </c>
      <c r="C158" s="31">
        <f>IF(Расчет!$F$24="строительство КЛ-10(6) кВ, АСБ-10 3x150 (с проколом)",ДОП!F158,0)</f>
        <v>0</v>
      </c>
      <c r="F158" s="113" t="s">
        <v>398</v>
      </c>
      <c r="G158" s="79" t="s">
        <v>399</v>
      </c>
    </row>
    <row r="159" spans="1:7" ht="15" thickBot="1">
      <c r="A159" s="99" t="s">
        <v>80</v>
      </c>
      <c r="B159" s="31">
        <f>IF(Расчет!$F$24="строительство КЛ-10(6) кВ, АСБ-10 3x185",ДОП!G159,0)</f>
        <v>0</v>
      </c>
      <c r="C159" s="31">
        <f>IF(Расчет!$F$24="строительство КЛ-10(6) кВ, АСБ-10 3x185",ДОП!F159,0)</f>
        <v>0</v>
      </c>
      <c r="F159" s="113" t="s">
        <v>400</v>
      </c>
      <c r="G159" s="79" t="s">
        <v>401</v>
      </c>
    </row>
    <row r="160" spans="1:7" ht="15" thickBot="1">
      <c r="A160" s="78" t="s">
        <v>585</v>
      </c>
      <c r="B160" s="31">
        <f>IF(Расчет!$F$24="строительство КЛ-10(6) кВ, АСБ-10 3x185 (с проколом)",ДОП!G160,0)</f>
        <v>0</v>
      </c>
      <c r="C160" s="31">
        <f>IF(Расчет!$F$24="строительство КЛ-10(6) кВ, АСБ-10 3x185 (с проколом)",ДОП!F160,0)</f>
        <v>0</v>
      </c>
      <c r="F160" s="113" t="s">
        <v>402</v>
      </c>
      <c r="G160" s="79" t="s">
        <v>403</v>
      </c>
    </row>
    <row r="161" spans="1:7" ht="15" thickBot="1">
      <c r="A161" s="99" t="s">
        <v>81</v>
      </c>
      <c r="B161" s="31">
        <f>IF(Расчет!$F$24="строительство КЛ-10(6) кВ, АСБ-10 3x240",ДОП!G161,0)</f>
        <v>0</v>
      </c>
      <c r="C161" s="31">
        <f>IF(Расчет!$F$24="строительство КЛ-10(6) кВ, АСБ-10 3x240",ДОП!F161,0)</f>
        <v>0</v>
      </c>
      <c r="F161" s="113" t="s">
        <v>404</v>
      </c>
      <c r="G161" s="79" t="s">
        <v>405</v>
      </c>
    </row>
    <row r="162" spans="1:7" ht="15" thickBot="1">
      <c r="A162" s="99" t="s">
        <v>82</v>
      </c>
      <c r="B162" s="31">
        <f>IF(Расчет!$F$24="строительство КЛ-10(6) кВ, АСБ-10 3x240 (с проколом)",ДОП!G162,0)</f>
        <v>0</v>
      </c>
      <c r="C162" s="31">
        <f>IF(Расчет!$F$24="строительство КЛ-10(6) кВ, АСБ-10 3x240 (с проколом)",ДОП!F162,0)</f>
        <v>0</v>
      </c>
      <c r="F162" s="113" t="s">
        <v>406</v>
      </c>
      <c r="G162" s="79" t="s">
        <v>407</v>
      </c>
    </row>
    <row r="163" spans="1:7" ht="15" thickBot="1">
      <c r="A163" s="114" t="s">
        <v>237</v>
      </c>
      <c r="F163" s="113" t="s">
        <v>408</v>
      </c>
      <c r="G163" s="79" t="s">
        <v>409</v>
      </c>
    </row>
    <row r="164" spans="1:7" ht="409.6" thickBot="1">
      <c r="A164" s="115" t="s">
        <v>238</v>
      </c>
      <c r="F164" s="105" t="s">
        <v>410</v>
      </c>
      <c r="G164" s="77" t="s">
        <v>411</v>
      </c>
    </row>
    <row r="165" spans="1:7" ht="409.6" thickBot="1">
      <c r="A165" s="115" t="s">
        <v>239</v>
      </c>
      <c r="F165" s="105" t="s">
        <v>412</v>
      </c>
      <c r="G165" s="77" t="s">
        <v>413</v>
      </c>
    </row>
    <row r="166" spans="1:7" ht="409.6" thickBot="1">
      <c r="A166" s="115" t="s">
        <v>240</v>
      </c>
      <c r="F166" s="105" t="s">
        <v>414</v>
      </c>
      <c r="G166" s="77" t="s">
        <v>415</v>
      </c>
    </row>
    <row r="167" spans="1:7" ht="409.6" thickBot="1">
      <c r="A167" s="115" t="s">
        <v>241</v>
      </c>
      <c r="F167" s="105" t="s">
        <v>416</v>
      </c>
      <c r="G167" s="77" t="s">
        <v>417</v>
      </c>
    </row>
    <row r="168" spans="1:7" ht="409.6" thickBot="1">
      <c r="A168" s="115" t="s">
        <v>242</v>
      </c>
      <c r="F168" s="105" t="s">
        <v>418</v>
      </c>
      <c r="G168" s="77" t="s">
        <v>419</v>
      </c>
    </row>
    <row r="169" spans="1:7" ht="409.6" thickBot="1">
      <c r="A169" s="115" t="s">
        <v>243</v>
      </c>
      <c r="F169" s="105" t="s">
        <v>420</v>
      </c>
      <c r="G169" s="77" t="s">
        <v>421</v>
      </c>
    </row>
    <row r="170" spans="1:7" ht="15" thickBot="1">
      <c r="A170" s="116" t="s">
        <v>244</v>
      </c>
      <c r="F170" s="113" t="s">
        <v>422</v>
      </c>
      <c r="G170" s="79" t="s">
        <v>423</v>
      </c>
    </row>
    <row r="171" spans="1:7" ht="409.6" thickBot="1">
      <c r="A171" s="115" t="s">
        <v>245</v>
      </c>
      <c r="F171" s="105" t="s">
        <v>424</v>
      </c>
      <c r="G171" s="77" t="s">
        <v>425</v>
      </c>
    </row>
    <row r="172" spans="1:7" ht="409.6" thickBot="1">
      <c r="A172" s="115" t="s">
        <v>246</v>
      </c>
      <c r="F172" s="77" t="s">
        <v>426</v>
      </c>
      <c r="G172" s="77" t="s">
        <v>427</v>
      </c>
    </row>
    <row r="173" spans="1:7" ht="409.6" thickBot="1">
      <c r="A173" s="115" t="s">
        <v>247</v>
      </c>
      <c r="F173" s="105" t="s">
        <v>428</v>
      </c>
      <c r="G173" s="77" t="s">
        <v>429</v>
      </c>
    </row>
    <row r="174" spans="1:7" ht="409.6" thickBot="1">
      <c r="A174" s="115" t="s">
        <v>248</v>
      </c>
      <c r="F174" s="105" t="s">
        <v>430</v>
      </c>
      <c r="G174" s="77" t="s">
        <v>431</v>
      </c>
    </row>
    <row r="175" spans="1:7" ht="409.6" thickBot="1">
      <c r="A175" s="115" t="s">
        <v>249</v>
      </c>
      <c r="F175" s="105" t="s">
        <v>432</v>
      </c>
      <c r="G175" s="77" t="s">
        <v>433</v>
      </c>
    </row>
    <row r="176" spans="1:7" ht="409.6" thickBot="1">
      <c r="A176" s="115" t="s">
        <v>250</v>
      </c>
      <c r="F176" s="105" t="s">
        <v>434</v>
      </c>
      <c r="G176" s="77" t="s">
        <v>435</v>
      </c>
    </row>
    <row r="177" spans="1:7" ht="409.6" thickBot="1">
      <c r="A177" s="115" t="s">
        <v>251</v>
      </c>
      <c r="F177" s="77" t="s">
        <v>436</v>
      </c>
      <c r="G177" s="77" t="s">
        <v>437</v>
      </c>
    </row>
    <row r="178" spans="1:7" ht="409.6" thickBot="1">
      <c r="A178" s="115" t="s">
        <v>252</v>
      </c>
      <c r="F178" s="77" t="s">
        <v>387</v>
      </c>
      <c r="G178" s="77" t="s">
        <v>438</v>
      </c>
    </row>
    <row r="179" spans="1:7" s="112" customFormat="1" ht="409.6" hidden="1" thickBot="1">
      <c r="A179" s="115" t="s">
        <v>253</v>
      </c>
      <c r="F179" s="117" t="s">
        <v>439</v>
      </c>
      <c r="G179" s="118" t="s">
        <v>440</v>
      </c>
    </row>
    <row r="180" spans="1:7" s="112" customFormat="1" ht="409.6" hidden="1" thickBot="1">
      <c r="A180" s="115" t="s">
        <v>254</v>
      </c>
      <c r="F180" s="117" t="s">
        <v>441</v>
      </c>
      <c r="G180" s="118" t="s">
        <v>442</v>
      </c>
    </row>
    <row r="181" spans="1:7">
      <c r="B181" s="101">
        <f>B141+B142+B143+B144+B145+B146+B147+B148+B149+B150+B151+B152+B153+B154+B155+B156+B157+B158+B159+B160+B161+B162+B163+B164+B165+B166+B167+B168+B169+B170+B171+B172+B173+B174+B175+B176+B177+B178</f>
        <v>0</v>
      </c>
      <c r="C181" s="101">
        <f>C141+C142+C143+C144+C145+C146+C147+C148+C149+C150+C151+C152+C153+C154+C155+C156+C157+C158+C159+C160+C161+C162+C163+C164+C165+C166+C167+C168+C169+C170+C171+C172+C173+C174+C175+C176+C177+C178</f>
        <v>0</v>
      </c>
    </row>
    <row r="182" spans="1:7">
      <c r="B182" s="54">
        <f>IF(Расчет!F10&gt;150,ДОП!C181,ДОП!B181)</f>
        <v>0</v>
      </c>
    </row>
    <row r="183" spans="1:7" s="112" customFormat="1"/>
    <row r="188" spans="1:7" ht="15" thickBot="1"/>
    <row r="189" spans="1:7" ht="15" thickBot="1">
      <c r="A189" s="96" t="s">
        <v>84</v>
      </c>
      <c r="B189" s="31">
        <f>IF(Расчет!F129=ДОП!E189,ДОП!G189,0)</f>
        <v>0</v>
      </c>
      <c r="C189" s="31">
        <f>IF(Расчет!G129=ДОП!E189,ДОП!F189,0)</f>
        <v>0</v>
      </c>
      <c r="E189" s="31" t="s">
        <v>218</v>
      </c>
      <c r="F189" s="77" t="s">
        <v>443</v>
      </c>
      <c r="G189" s="80" t="s">
        <v>444</v>
      </c>
    </row>
    <row r="190" spans="1:7" ht="15" thickBot="1">
      <c r="A190" s="96" t="s">
        <v>85</v>
      </c>
      <c r="B190" s="31">
        <f>IF(Расчет!F130=ДОП!E190,ДОП!G190,0)</f>
        <v>0</v>
      </c>
      <c r="C190" s="31">
        <f>IF(Расчет!G130=ДОП!E190,ДОП!F190,0)</f>
        <v>0</v>
      </c>
      <c r="E190" s="31" t="s">
        <v>219</v>
      </c>
      <c r="F190" s="77" t="s">
        <v>445</v>
      </c>
      <c r="G190" s="77" t="s">
        <v>446</v>
      </c>
    </row>
    <row r="191" spans="1:7" ht="15" thickBot="1">
      <c r="A191" s="96" t="s">
        <v>86</v>
      </c>
      <c r="B191" s="31">
        <f>IF(Расчет!F131=ДОП!E191,ДОП!G191,0)</f>
        <v>0</v>
      </c>
      <c r="C191" s="31">
        <f>IF(Расчет!G131=ДОП!E191,ДОП!F191,0)</f>
        <v>0</v>
      </c>
      <c r="E191" s="31" t="s">
        <v>220</v>
      </c>
      <c r="F191" s="77" t="s">
        <v>447</v>
      </c>
      <c r="G191" s="77" t="s">
        <v>448</v>
      </c>
    </row>
    <row r="192" spans="1:7" ht="15" thickBot="1">
      <c r="A192" s="96" t="s">
        <v>87</v>
      </c>
      <c r="B192" s="31">
        <f>IF(Расчет!F132=ДОП!E192,ДОП!G192,0)</f>
        <v>0</v>
      </c>
      <c r="C192" s="31">
        <f>IF(Расчет!G132=ДОП!E192,ДОП!F192,0)</f>
        <v>0</v>
      </c>
      <c r="E192" s="31" t="s">
        <v>221</v>
      </c>
      <c r="F192" s="77" t="s">
        <v>449</v>
      </c>
      <c r="G192" s="77" t="s">
        <v>450</v>
      </c>
    </row>
    <row r="193" spans="1:7" ht="15" thickBot="1">
      <c r="A193" s="96" t="s">
        <v>88</v>
      </c>
      <c r="B193" s="31">
        <f>IF(Расчет!F133=ДОП!E193,ДОП!G193,0)</f>
        <v>0</v>
      </c>
      <c r="C193" s="31">
        <f>IF(Расчет!G133=ДОП!E193,ДОП!F193,0)</f>
        <v>0</v>
      </c>
      <c r="E193" s="31">
        <v>100</v>
      </c>
      <c r="F193" s="77" t="s">
        <v>451</v>
      </c>
      <c r="G193" s="77" t="s">
        <v>452</v>
      </c>
    </row>
    <row r="194" spans="1:7" ht="15" thickBot="1">
      <c r="A194" s="96" t="s">
        <v>255</v>
      </c>
      <c r="B194" s="31">
        <f>IF(Расчет!F134=ДОП!E194,ДОП!G194,0)</f>
        <v>0</v>
      </c>
      <c r="C194" s="31">
        <f>IF(Расчет!G134=ДОП!E194,ДОП!F194,0)</f>
        <v>0</v>
      </c>
      <c r="E194" s="31">
        <v>160</v>
      </c>
      <c r="F194" s="77" t="s">
        <v>453</v>
      </c>
      <c r="G194" s="77" t="s">
        <v>454</v>
      </c>
    </row>
    <row r="195" spans="1:7" ht="15" thickBot="1">
      <c r="A195" s="96" t="s">
        <v>256</v>
      </c>
      <c r="B195" s="31">
        <f>IF(Расчет!F135=ДОП!E195,ДОП!G195,0)</f>
        <v>0</v>
      </c>
      <c r="C195" s="31">
        <f>IF(Расчет!G135=ДОП!E195,ДОП!F195,0)</f>
        <v>0</v>
      </c>
      <c r="E195" s="31">
        <v>250</v>
      </c>
      <c r="F195" s="77" t="s">
        <v>455</v>
      </c>
      <c r="G195" s="77" t="s">
        <v>456</v>
      </c>
    </row>
    <row r="196" spans="1:7" ht="15" thickBot="1">
      <c r="A196" s="96" t="s">
        <v>257</v>
      </c>
      <c r="B196" s="31">
        <f>IF(Расчет!F136=ДОП!E196,ДОП!G196,0)</f>
        <v>0</v>
      </c>
      <c r="C196" s="31">
        <f>IF(Расчет!G136=ДОП!E196,ДОП!F196,0)</f>
        <v>0</v>
      </c>
      <c r="E196" s="31">
        <v>400</v>
      </c>
      <c r="F196" s="77" t="s">
        <v>457</v>
      </c>
      <c r="G196" s="77" t="s">
        <v>458</v>
      </c>
    </row>
    <row r="197" spans="1:7" ht="15" thickBot="1">
      <c r="A197" s="96" t="s">
        <v>258</v>
      </c>
      <c r="B197" s="31">
        <f>IF(Расчет!F137=ДОП!E197,ДОП!G197,0)</f>
        <v>0</v>
      </c>
      <c r="C197" s="31">
        <f>IF(Расчет!G137=ДОП!E197,ДОП!F197,0)</f>
        <v>0</v>
      </c>
      <c r="E197" s="31">
        <v>630</v>
      </c>
      <c r="F197" s="77" t="s">
        <v>459</v>
      </c>
      <c r="G197" s="77" t="s">
        <v>460</v>
      </c>
    </row>
    <row r="198" spans="1:7" ht="15" thickBot="1">
      <c r="A198" s="96" t="s">
        <v>93</v>
      </c>
      <c r="B198" s="31">
        <f>IF(Расчет!F138=ДОП!E198,ДОП!G198,0)</f>
        <v>0</v>
      </c>
      <c r="C198" s="31">
        <f>IF(Расчет!G138=ДОП!E198,ДОП!F198,0)</f>
        <v>0</v>
      </c>
      <c r="E198" s="31">
        <v>1000</v>
      </c>
      <c r="F198" s="77" t="s">
        <v>461</v>
      </c>
      <c r="G198" s="77" t="s">
        <v>462</v>
      </c>
    </row>
    <row r="199" spans="1:7" ht="15" thickBot="1">
      <c r="A199" s="96" t="s">
        <v>259</v>
      </c>
      <c r="B199" s="31">
        <f>IF(Расчет!F139=ДОП!E199,ДОП!G199,0)</f>
        <v>0</v>
      </c>
      <c r="C199" s="31">
        <f>IF(Расчет!G139=ДОП!E199,ДОП!F199,0)</f>
        <v>0</v>
      </c>
      <c r="E199" s="31" t="s">
        <v>214</v>
      </c>
      <c r="F199" s="77" t="s">
        <v>463</v>
      </c>
      <c r="G199" s="77" t="s">
        <v>464</v>
      </c>
    </row>
    <row r="200" spans="1:7" ht="15" thickBot="1">
      <c r="A200" s="96" t="s">
        <v>260</v>
      </c>
      <c r="B200" s="31">
        <f>IF(Расчет!F140=ДОП!E200,ДОП!G200,0)</f>
        <v>0</v>
      </c>
      <c r="C200" s="31">
        <f>IF(Расчет!G140=ДОП!E200,ДОП!F200,0)</f>
        <v>0</v>
      </c>
      <c r="E200" s="31" t="s">
        <v>215</v>
      </c>
      <c r="F200" s="77" t="s">
        <v>465</v>
      </c>
      <c r="G200" s="77" t="s">
        <v>466</v>
      </c>
    </row>
    <row r="201" spans="1:7" ht="15" thickBot="1">
      <c r="A201" s="96" t="s">
        <v>261</v>
      </c>
      <c r="B201" s="31">
        <f>IF(Расчет!F141=ДОП!E201,ДОП!G201,0)</f>
        <v>0</v>
      </c>
      <c r="C201" s="31">
        <f>IF(Расчет!G141=ДОП!E201,ДОП!F201,0)</f>
        <v>0</v>
      </c>
      <c r="E201" s="31" t="s">
        <v>216</v>
      </c>
      <c r="F201" s="77" t="s">
        <v>467</v>
      </c>
      <c r="G201" s="80" t="s">
        <v>468</v>
      </c>
    </row>
    <row r="202" spans="1:7" ht="15" thickBot="1">
      <c r="A202" s="96" t="s">
        <v>262</v>
      </c>
      <c r="B202" s="31">
        <f>IF(Расчет!F142=ДОП!E202,ДОП!G202,0)</f>
        <v>0</v>
      </c>
      <c r="C202" s="31">
        <f>IF(Расчет!G142=ДОП!E202,ДОП!F202,0)</f>
        <v>0</v>
      </c>
      <c r="E202" s="31" t="s">
        <v>217</v>
      </c>
      <c r="F202" s="77" t="s">
        <v>469</v>
      </c>
      <c r="G202" s="77" t="s">
        <v>470</v>
      </c>
    </row>
    <row r="203" spans="1:7" s="112" customFormat="1" ht="409.6" hidden="1" thickBot="1">
      <c r="A203" s="115" t="s">
        <v>263</v>
      </c>
      <c r="B203" s="71" t="str">
        <f>IF(Расчет!F143=ДОП!E203,ДОП!G203,0)</f>
        <v>865,42</v>
      </c>
      <c r="F203" s="118" t="s">
        <v>471</v>
      </c>
      <c r="G203" s="118" t="s">
        <v>472</v>
      </c>
    </row>
    <row r="204" spans="1:7" s="112" customFormat="1" ht="15" hidden="1" thickBot="1">
      <c r="A204" s="114" t="s">
        <v>264</v>
      </c>
      <c r="B204" s="71" t="str">
        <f>IF(Расчет!F144=ДОП!E204,ДОП!G204,0)</f>
        <v>150,56</v>
      </c>
      <c r="F204" s="119" t="s">
        <v>473</v>
      </c>
      <c r="G204" s="119" t="s">
        <v>474</v>
      </c>
    </row>
    <row r="205" spans="1:7" s="112" customFormat="1" ht="15" hidden="1" thickBot="1">
      <c r="A205" s="114" t="s">
        <v>265</v>
      </c>
      <c r="B205" s="71" t="str">
        <f>IF(Расчет!F145=ДОП!E205,ДОП!G205,0)</f>
        <v>167,53</v>
      </c>
      <c r="F205" s="119" t="s">
        <v>475</v>
      </c>
      <c r="G205" s="119" t="s">
        <v>476</v>
      </c>
    </row>
    <row r="206" spans="1:7" s="112" customFormat="1" ht="409.6" hidden="1" thickBot="1">
      <c r="A206" s="115" t="s">
        <v>266</v>
      </c>
      <c r="B206" s="71" t="str">
        <f>IF(Расчет!F146=ДОП!E206,ДОП!G206,0)</f>
        <v>227,03</v>
      </c>
      <c r="F206" s="118" t="s">
        <v>477</v>
      </c>
      <c r="G206" s="118" t="s">
        <v>478</v>
      </c>
    </row>
    <row r="207" spans="1:7" s="112" customFormat="1" ht="409.6" hidden="1" thickBot="1">
      <c r="A207" s="115" t="s">
        <v>267</v>
      </c>
      <c r="B207" s="71" t="str">
        <f>IF(Расчет!F147=ДОП!E207,ДОП!G207,0)</f>
        <v>3 482,81</v>
      </c>
      <c r="F207" s="118" t="s">
        <v>479</v>
      </c>
      <c r="G207" s="118" t="s">
        <v>480</v>
      </c>
    </row>
    <row r="208" spans="1:7" s="112" customFormat="1" ht="409.6" hidden="1" thickBot="1">
      <c r="A208" s="115" t="s">
        <v>268</v>
      </c>
      <c r="B208" s="71" t="str">
        <f>IF(Расчет!F148=ДОП!E208,ДОП!G208,0)</f>
        <v>2 218,57</v>
      </c>
      <c r="F208" s="118" t="s">
        <v>481</v>
      </c>
      <c r="G208" s="118" t="s">
        <v>482</v>
      </c>
    </row>
    <row r="209" spans="1:7" s="112" customFormat="1" ht="409.6" hidden="1" thickBot="1">
      <c r="A209" s="115" t="s">
        <v>269</v>
      </c>
      <c r="B209" s="71" t="str">
        <f>IF(Расчет!F149=ДОП!E209,ДОП!G209,0)</f>
        <v>1 440,31</v>
      </c>
      <c r="F209" s="120" t="s">
        <v>483</v>
      </c>
      <c r="G209" s="118" t="s">
        <v>484</v>
      </c>
    </row>
    <row r="210" spans="1:7" s="112" customFormat="1" ht="409.6" hidden="1" thickBot="1">
      <c r="A210" s="115" t="s">
        <v>270</v>
      </c>
      <c r="B210" s="71" t="str">
        <f>IF(Расчет!F150=ДОП!E210,ДОП!G210,0)</f>
        <v>3 613,79</v>
      </c>
      <c r="F210" s="118" t="s">
        <v>485</v>
      </c>
      <c r="G210" s="118" t="s">
        <v>486</v>
      </c>
    </row>
    <row r="211" spans="1:7" s="112" customFormat="1" ht="409.6" hidden="1" thickBot="1">
      <c r="A211" s="121" t="s">
        <v>271</v>
      </c>
      <c r="B211" s="71" t="str">
        <f>IF(Расчет!F151=ДОП!E211,ДОП!G211,0)</f>
        <v>2 296,92</v>
      </c>
      <c r="F211" s="118" t="s">
        <v>487</v>
      </c>
      <c r="G211" s="118" t="s">
        <v>488</v>
      </c>
    </row>
    <row r="212" spans="1:7" s="112" customFormat="1" ht="409.6" hidden="1" thickBot="1">
      <c r="A212" s="121" t="s">
        <v>272</v>
      </c>
      <c r="B212" s="71" t="str">
        <f>IF(Расчет!F152=ДОП!E212,ДОП!G212,0)</f>
        <v>1 433,04</v>
      </c>
      <c r="F212" s="118" t="s">
        <v>489</v>
      </c>
      <c r="G212" s="118" t="s">
        <v>490</v>
      </c>
    </row>
    <row r="213" spans="1:7" s="112" customFormat="1" ht="15" hidden="1" thickBot="1">
      <c r="A213" s="116" t="s">
        <v>273</v>
      </c>
      <c r="B213" s="71" t="str">
        <f>IF(Расчет!F153=ДОП!E213,ДОП!G213,0)</f>
        <v>4 229,20</v>
      </c>
      <c r="F213" s="119" t="s">
        <v>491</v>
      </c>
      <c r="G213" s="119" t="s">
        <v>492</v>
      </c>
    </row>
    <row r="214" spans="1:7" s="112" customFormat="1" ht="409.6" hidden="1" thickBot="1">
      <c r="A214" s="121" t="s">
        <v>274</v>
      </c>
      <c r="B214" s="71" t="str">
        <f>IF(Расчет!F154=ДОП!E214,ДОП!G214,0)</f>
        <v>2 739,22</v>
      </c>
      <c r="F214" s="118" t="s">
        <v>493</v>
      </c>
      <c r="G214" s="118" t="s">
        <v>494</v>
      </c>
    </row>
    <row r="215" spans="1:7" s="112" customFormat="1" ht="409.6" hidden="1" thickBot="1">
      <c r="A215" s="121" t="s">
        <v>275</v>
      </c>
      <c r="B215" s="71" t="str">
        <f>IF(Расчет!F155=ДОП!E215,ДОП!G215,0)</f>
        <v>1 707,42</v>
      </c>
      <c r="F215" s="118" t="s">
        <v>495</v>
      </c>
      <c r="G215" s="118" t="s">
        <v>496</v>
      </c>
    </row>
    <row r="216" spans="1:7" s="112" customFormat="1" ht="409.6" hidden="1" thickBot="1">
      <c r="A216" s="115" t="s">
        <v>276</v>
      </c>
      <c r="B216" s="71" t="str">
        <f>IF(Расчет!F156=ДОП!E216,ДОП!G216,0)</f>
        <v>4 752,75</v>
      </c>
      <c r="F216" s="118" t="s">
        <v>497</v>
      </c>
      <c r="G216" s="118" t="s">
        <v>498</v>
      </c>
    </row>
    <row r="217" spans="1:7" s="112" customFormat="1" ht="409.6" hidden="1" thickBot="1">
      <c r="A217" s="115" t="s">
        <v>277</v>
      </c>
      <c r="B217" s="71" t="str">
        <f>IF(Расчет!F157=ДОП!E217,ДОП!G217,0)</f>
        <v>2 980,25</v>
      </c>
      <c r="F217" s="118" t="s">
        <v>499</v>
      </c>
      <c r="G217" s="118" t="s">
        <v>500</v>
      </c>
    </row>
    <row r="218" spans="1:7" s="112" customFormat="1" ht="409.6" hidden="1" thickBot="1">
      <c r="A218" s="115" t="s">
        <v>278</v>
      </c>
      <c r="B218" s="71" t="str">
        <f>IF(Расчет!F158=ДОП!E218,ДОП!G218,0)</f>
        <v>1 951,18</v>
      </c>
      <c r="F218" s="118" t="s">
        <v>501</v>
      </c>
      <c r="G218" s="118" t="s">
        <v>502</v>
      </c>
    </row>
    <row r="219" spans="1:7" s="112" customFormat="1" ht="409.6" hidden="1" thickBot="1">
      <c r="A219" s="115" t="s">
        <v>279</v>
      </c>
      <c r="B219" s="71" t="str">
        <f>IF(Расчет!F159=ДОП!E219,ДОП!G219,0)</f>
        <v>1 238,57</v>
      </c>
      <c r="F219" s="118" t="s">
        <v>503</v>
      </c>
      <c r="G219" s="118" t="s">
        <v>504</v>
      </c>
    </row>
    <row r="220" spans="1:7" s="112" customFormat="1" ht="409.6" hidden="1" thickBot="1">
      <c r="A220" s="115" t="s">
        <v>280</v>
      </c>
      <c r="B220" s="71" t="str">
        <f>IF(Расчет!F160=ДОП!E220,ДОП!G220,0)</f>
        <v>807,16</v>
      </c>
      <c r="F220" s="118" t="s">
        <v>505</v>
      </c>
      <c r="G220" s="118" t="s">
        <v>506</v>
      </c>
    </row>
    <row r="221" spans="1:7" s="112" customFormat="1" ht="409.6" hidden="1" thickBot="1">
      <c r="A221" s="115" t="s">
        <v>281</v>
      </c>
      <c r="B221" s="71" t="str">
        <f>IF(Расчет!F161=ДОП!E221,ДОП!G221,0)</f>
        <v>4 998,70</v>
      </c>
      <c r="F221" s="118" t="s">
        <v>507</v>
      </c>
      <c r="G221" s="118" t="s">
        <v>508</v>
      </c>
    </row>
    <row r="222" spans="1:7" s="112" customFormat="1" ht="409.6" hidden="1" thickBot="1">
      <c r="A222" s="115" t="s">
        <v>282</v>
      </c>
      <c r="B222" s="71" t="str">
        <f>IF(Расчет!F162=ДОП!E222,ДОП!G222,0)</f>
        <v>3 133,95</v>
      </c>
      <c r="F222" s="118" t="s">
        <v>509</v>
      </c>
      <c r="G222" s="118" t="s">
        <v>510</v>
      </c>
    </row>
    <row r="223" spans="1:7" s="112" customFormat="1" ht="409.6" hidden="1" thickBot="1">
      <c r="A223" s="115" t="s">
        <v>283</v>
      </c>
      <c r="B223" s="71" t="str">
        <f>IF(Расчет!F163=ДОП!E223,ДОП!G223,0)</f>
        <v>2 050,27</v>
      </c>
      <c r="F223" s="118" t="s">
        <v>511</v>
      </c>
      <c r="G223" s="118" t="s">
        <v>512</v>
      </c>
    </row>
    <row r="224" spans="1:7" s="112" customFormat="1" ht="409.6" hidden="1" thickBot="1">
      <c r="A224" s="115" t="s">
        <v>284</v>
      </c>
      <c r="B224" s="71" t="str">
        <f>IF(Расчет!F164=ДОП!E224,ДОП!G224,0)</f>
        <v>1 298,94</v>
      </c>
      <c r="F224" s="118" t="s">
        <v>513</v>
      </c>
      <c r="G224" s="118" t="s">
        <v>514</v>
      </c>
    </row>
    <row r="225" spans="1:7" s="112" customFormat="1" ht="409.6" hidden="1" thickBot="1">
      <c r="A225" s="115" t="s">
        <v>285</v>
      </c>
      <c r="B225" s="71" t="str">
        <f>IF(Расчет!F165=ДОП!E225,ДОП!G225,0)</f>
        <v>846,48</v>
      </c>
      <c r="F225" s="118" t="s">
        <v>515</v>
      </c>
      <c r="G225" s="118" t="s">
        <v>516</v>
      </c>
    </row>
    <row r="226" spans="1:7" s="112" customFormat="1" ht="409.6" hidden="1" thickBot="1">
      <c r="A226" s="115" t="s">
        <v>286</v>
      </c>
      <c r="B226" s="71" t="str">
        <f>IF(Расчет!F166=ДОП!E226,ДОП!G226,0)</f>
        <v>5 454,71</v>
      </c>
      <c r="F226" s="118" t="s">
        <v>517</v>
      </c>
      <c r="G226" s="118" t="s">
        <v>518</v>
      </c>
    </row>
    <row r="227" spans="1:7" s="112" customFormat="1" ht="409.6" hidden="1" thickBot="1">
      <c r="A227" s="115" t="s">
        <v>287</v>
      </c>
      <c r="B227" s="71" t="str">
        <f>IF(Расчет!F167=ДОП!E227,ДОП!G227,0)</f>
        <v>3 416,87</v>
      </c>
      <c r="F227" s="118" t="s">
        <v>519</v>
      </c>
      <c r="G227" s="118" t="s">
        <v>520</v>
      </c>
    </row>
    <row r="228" spans="1:7" s="112" customFormat="1" ht="409.6" hidden="1" thickBot="1">
      <c r="A228" s="115" t="s">
        <v>288</v>
      </c>
      <c r="B228" s="71" t="str">
        <f>IF(Расчет!F168=ДОП!E228,ДОП!G228,0)</f>
        <v>2 231,53</v>
      </c>
      <c r="F228" s="118" t="s">
        <v>521</v>
      </c>
      <c r="G228" s="118" t="s">
        <v>522</v>
      </c>
    </row>
    <row r="229" spans="1:7" s="112" customFormat="1" ht="409.6" hidden="1" thickBot="1">
      <c r="A229" s="115" t="s">
        <v>289</v>
      </c>
      <c r="B229" s="71" t="str">
        <f>IF(Расчет!F169=ДОП!E229,ДОП!G229,0)</f>
        <v>1 412,18</v>
      </c>
      <c r="F229" s="118" t="s">
        <v>523</v>
      </c>
      <c r="G229" s="118" t="s">
        <v>524</v>
      </c>
    </row>
    <row r="230" spans="1:7" s="112" customFormat="1" ht="409.6" hidden="1" thickBot="1">
      <c r="A230" s="115" t="s">
        <v>290</v>
      </c>
      <c r="B230" s="71" t="str">
        <f>IF(Расчет!F170=ДОП!E230,ДОП!G230,0)</f>
        <v>918,39</v>
      </c>
      <c r="F230" s="118" t="s">
        <v>525</v>
      </c>
      <c r="G230" s="118" t="s">
        <v>526</v>
      </c>
    </row>
    <row r="231" spans="1:7" s="112" customFormat="1" ht="409.6" hidden="1" thickBot="1">
      <c r="A231" s="115" t="s">
        <v>291</v>
      </c>
      <c r="B231" s="71" t="str">
        <f>IF(Расчет!F171=ДОП!E231,ДОП!G231,0)</f>
        <v>14 835,79</v>
      </c>
      <c r="F231" s="118" t="s">
        <v>527</v>
      </c>
      <c r="G231" s="118" t="s">
        <v>528</v>
      </c>
    </row>
    <row r="232" spans="1:7" s="112" customFormat="1" ht="409.6" hidden="1" thickBot="1">
      <c r="A232" s="115" t="s">
        <v>292</v>
      </c>
      <c r="B232" s="71" t="str">
        <f>IF(Расчет!F172=ДОП!E232,ДОП!G232,0)</f>
        <v>9 290,36</v>
      </c>
      <c r="F232" s="118" t="s">
        <v>529</v>
      </c>
      <c r="G232" s="118" t="s">
        <v>530</v>
      </c>
    </row>
    <row r="233" spans="1:7" s="112" customFormat="1" ht="409.6" hidden="1" thickBot="1">
      <c r="A233" s="115" t="s">
        <v>293</v>
      </c>
      <c r="B233" s="71" t="str">
        <f>IF(Расчет!F173=ДОП!E233,ДОП!G233,0)</f>
        <v>6 033,45</v>
      </c>
      <c r="F233" s="118" t="s">
        <v>531</v>
      </c>
      <c r="G233" s="118" t="s">
        <v>532</v>
      </c>
    </row>
    <row r="234" spans="1:7" s="112" customFormat="1" ht="409.6" hidden="1" thickBot="1">
      <c r="A234" s="115" t="s">
        <v>294</v>
      </c>
      <c r="B234" s="71" t="str">
        <f>IF(Расчет!F174=ДОП!E234,ДОП!G234,0)</f>
        <v>3 805,90</v>
      </c>
      <c r="F234" s="118" t="s">
        <v>533</v>
      </c>
      <c r="G234" s="118" t="s">
        <v>534</v>
      </c>
    </row>
    <row r="235" spans="1:7" s="112" customFormat="1" ht="409.6" hidden="1" thickBot="1">
      <c r="A235" s="115" t="s">
        <v>295</v>
      </c>
      <c r="B235" s="71" t="str">
        <f>IF(Расчет!F175=ДОП!E235,ДОП!G235,0)</f>
        <v>2 460,19</v>
      </c>
      <c r="F235" s="118" t="s">
        <v>535</v>
      </c>
      <c r="G235" s="118" t="s">
        <v>536</v>
      </c>
    </row>
    <row r="236" spans="1:7" s="112" customFormat="1" ht="409.6" hidden="1" thickBot="1">
      <c r="A236" s="121" t="s">
        <v>296</v>
      </c>
      <c r="B236" s="71" t="str">
        <f>IF(Расчет!F176=ДОП!E236,ДОП!G236,0)</f>
        <v>1 234,86</v>
      </c>
      <c r="F236" s="118" t="s">
        <v>537</v>
      </c>
      <c r="G236" s="118" t="s">
        <v>538</v>
      </c>
    </row>
    <row r="237" spans="1:7" s="112" customFormat="1" ht="409.6" hidden="1" thickBot="1">
      <c r="A237" s="121" t="s">
        <v>297</v>
      </c>
      <c r="B237" s="71" t="str">
        <f>IF(Расчет!F177=ДОП!E237,ДОП!G237,0)</f>
        <v>811,84</v>
      </c>
      <c r="F237" s="118" t="s">
        <v>539</v>
      </c>
      <c r="G237" s="118" t="s">
        <v>540</v>
      </c>
    </row>
    <row r="238" spans="1:7" s="112" customFormat="1" ht="409.6" hidden="1" thickBot="1">
      <c r="A238" s="121" t="s">
        <v>298</v>
      </c>
      <c r="B238" s="71" t="str">
        <f>IF(Расчет!F178=ДОП!E238,ДОП!G238,0)</f>
        <v>2 099,18</v>
      </c>
      <c r="F238" s="118" t="s">
        <v>541</v>
      </c>
      <c r="G238" s="118" t="s">
        <v>542</v>
      </c>
    </row>
    <row r="239" spans="1:7" s="112" customFormat="1" ht="409.6" hidden="1" thickBot="1">
      <c r="A239" s="121" t="s">
        <v>299</v>
      </c>
      <c r="B239" s="71" t="str">
        <f>IF(Расчет!F179=ДОП!E239,ДОП!G239,0)</f>
        <v>1 356,36</v>
      </c>
      <c r="F239" s="118" t="s">
        <v>543</v>
      </c>
      <c r="G239" s="118" t="s">
        <v>544</v>
      </c>
    </row>
    <row r="240" spans="1:7" s="112" customFormat="1" ht="409.6" hidden="1" thickBot="1">
      <c r="A240" s="121" t="s">
        <v>300</v>
      </c>
      <c r="B240" s="71" t="str">
        <f>IF(Расчет!F180=ДОП!E240,ДОП!G240,0)</f>
        <v>2 282,11</v>
      </c>
      <c r="F240" s="118" t="s">
        <v>545</v>
      </c>
      <c r="G240" s="118" t="s">
        <v>546</v>
      </c>
    </row>
    <row r="241" spans="1:7" s="112" customFormat="1" ht="409.6" hidden="1" thickBot="1">
      <c r="A241" s="121" t="s">
        <v>301</v>
      </c>
      <c r="B241" s="71" t="str">
        <f>IF(Расчет!F181=ДОП!E241,ДОП!G241,0)</f>
        <v>1 471,61</v>
      </c>
      <c r="F241" s="118" t="s">
        <v>547</v>
      </c>
      <c r="G241" s="118" t="s">
        <v>548</v>
      </c>
    </row>
    <row r="242" spans="1:7" s="112" customFormat="1" ht="409.6" hidden="1" thickBot="1">
      <c r="A242" s="121" t="s">
        <v>302</v>
      </c>
      <c r="B242" s="71" t="str">
        <f>IF(Расчет!F182=ДОП!E242,ДОП!G242,0)</f>
        <v>2 959,51</v>
      </c>
      <c r="F242" s="118" t="s">
        <v>549</v>
      </c>
      <c r="G242" s="118" t="s">
        <v>550</v>
      </c>
    </row>
    <row r="243" spans="1:7" s="112" customFormat="1" ht="409.6" hidden="1" thickBot="1">
      <c r="A243" s="121" t="s">
        <v>303</v>
      </c>
      <c r="B243" s="71" t="str">
        <f>IF(Расчет!F183=ДОП!E243,ДОП!G243,0)</f>
        <v>1 898,37</v>
      </c>
      <c r="F243" s="118" t="s">
        <v>551</v>
      </c>
      <c r="G243" s="118" t="s">
        <v>552</v>
      </c>
    </row>
    <row r="244" spans="1:7" ht="15" thickBot="1"/>
    <row r="245" spans="1:7" ht="15" thickBot="1">
      <c r="B245" s="122">
        <f>B189+B190+B191+B192+B193+B194+B195+B196+B197+B198+B199+B200+B201+B202</f>
        <v>0</v>
      </c>
      <c r="C245" s="122">
        <f>C189+C190+C191+C192+C193+C194+C195+C196+C197+C198+C199+C200+C201+C202</f>
        <v>0</v>
      </c>
    </row>
    <row r="246" spans="1:7">
      <c r="B246" s="54">
        <f>IF(Расчет!F10&gt;150,ДОП!C245,ДОП!B245)</f>
        <v>0</v>
      </c>
    </row>
  </sheetData>
  <sheetProtection algorithmName="SHA-512" hashValue="ZVds5SpklzQJZM3EKrx6yHvPwDwSQ0EX2eaf5fMsWecqWlEK4sphcevFD5lD6jCHfKKoqv7xHGnJ3fU4/lLsCQ==" saltValue="6WRYES5kwqUSgYqnfJdxXg==" spinCount="100000" sheet="1" objects="1" scenarios="1" autoFilter="0"/>
  <mergeCells count="3">
    <mergeCell ref="A35:N35"/>
    <mergeCell ref="A102:N102"/>
    <mergeCell ref="H6:H8"/>
  </mergeCells>
  <dataValidations disablePrompts="1" count="1">
    <dataValidation type="list" allowBlank="1" showInputMessage="1" showErrorMessage="1" sqref="AI14">
      <formula1>$AZ$5:$AZ$7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</vt:lpstr>
      <vt:lpstr>ДОП</vt:lpstr>
      <vt:lpstr>ДОП!A</vt:lpstr>
      <vt:lpstr>ДОП!A.</vt:lpstr>
      <vt:lpstr>Расчет!Область_печати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Долгишев Сергей Анатольевич</dc:creator>
  <cp:lastModifiedBy>Карпов Дмитрий Александрович</cp:lastModifiedBy>
  <dcterms:created xsi:type="dcterms:W3CDTF">2015-07-21T07:17:50Z</dcterms:created>
  <dcterms:modified xsi:type="dcterms:W3CDTF">2017-07-13T05:10:03Z</dcterms:modified>
</cp:coreProperties>
</file>